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comments3.xml" ContentType="application/vnd.openxmlformats-officedocument.spreadsheetml.comments+xml"/>
  <Override PartName="/xl/threadedComments/threadedComment2.xml" ContentType="application/vnd.ms-excel.threadedcomments+xml"/>
  <Override PartName="/xl/comments4.xml" ContentType="application/vnd.openxmlformats-officedocument.spreadsheetml.comments+xml"/>
  <Override PartName="/xl/threadedComments/threadedComment3.xml" ContentType="application/vnd.ms-excel.threadedcomments+xml"/>
  <Override PartName="/xl/comments5.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15"/>
  <workbookPr codeName="ThisWorkbook" defaultThemeVersion="166925"/>
  <mc:AlternateContent xmlns:mc="http://schemas.openxmlformats.org/markup-compatibility/2006">
    <mc:Choice Requires="x15">
      <x15ac:absPath xmlns:x15ac="http://schemas.microsoft.com/office/spreadsheetml/2010/11/ac" url="https://magairports.sharepoint.com/sites/CSR9-Programme/Shared Documents/Programme/CSR Report/2024-25/Data/"/>
    </mc:Choice>
  </mc:AlternateContent>
  <xr:revisionPtr revIDLastSave="0" documentId="8_{64182746-DBCB-4D51-AD46-7430D5E7DFCC}" xr6:coauthVersionLast="47" xr6:coauthVersionMax="47" xr10:uidLastSave="{00000000-0000-0000-0000-000000000000}"/>
  <bookViews>
    <workbookView xWindow="-14430" yWindow="-16335" windowWidth="29040" windowHeight="15720" firstSheet="15" activeTab="12" xr2:uid="{6C5E403C-9B4D-4868-B05C-976AC51A74AC}"/>
  </bookViews>
  <sheets>
    <sheet name="Introduction " sheetId="36" r:id="rId1"/>
    <sheet name="KPIs - MAG" sheetId="39" state="hidden" r:id="rId2"/>
    <sheet name="KPIs - STN" sheetId="42" state="hidden" r:id="rId3"/>
    <sheet name="KPIs - EMA" sheetId="41" state="hidden" r:id="rId4"/>
    <sheet name="KPIs - MAN" sheetId="40" state="hidden" r:id="rId5"/>
    <sheet name="2-7 - Employees" sheetId="15" r:id="rId6"/>
    <sheet name="2-21 - Remuneration" sheetId="28" r:id="rId7"/>
    <sheet name="2-30 - Collective Bargaining" sheetId="13" r:id="rId8"/>
    <sheet name="201-1 - EVG&amp;D" sheetId="1" r:id="rId9"/>
    <sheet name="201-4 - Government assistance" sheetId="2" r:id="rId10"/>
    <sheet name="202-1 - Salary" sheetId="3" r:id="rId11"/>
    <sheet name="204-1 - Local Suppliers, 414" sheetId="4" r:id="rId12"/>
    <sheet name="205-1 - Anti-Corruption" sheetId="56" r:id="rId13"/>
    <sheet name="207-1 ,2, 3, 4 - Tax" sheetId="17" r:id="rId14"/>
    <sheet name="304-2, 3, 4 - Biodiversity" sheetId="20" r:id="rId15"/>
    <sheet name="302-1, 2 &amp; 305 - 1,2,3 - Emissi" sheetId="51" r:id="rId16"/>
    <sheet name="302-4, 5 &amp; 305-4 - GHG" sheetId="6" r:id="rId17"/>
    <sheet name="Surface Access" sheetId="45" r:id="rId18"/>
    <sheet name="401-1 - Employee Hire, Turnover" sheetId="23" r:id="rId19"/>
    <sheet name="401-2 - Benefits" sheetId="49" r:id="rId20"/>
    <sheet name="402-1 - Employee relations" sheetId="25" r:id="rId21"/>
    <sheet name="401-3 - Parental Leave" sheetId="24" r:id="rId22"/>
    <sheet name="403-1 to 10, 416-1 &amp; 416-2-H&amp;S" sheetId="21" r:id="rId23"/>
    <sheet name="GRESB HS3, HS4 - PRM Scores" sheetId="43" state="hidden" r:id="rId24"/>
    <sheet name="403-4 Supplemental information " sheetId="22" r:id="rId25"/>
    <sheet name="404-1 - Training" sheetId="31" r:id="rId26"/>
    <sheet name="Aerozone" sheetId="47" r:id="rId27"/>
    <sheet name="404-2 - Employee Skills " sheetId="32" r:id="rId28"/>
    <sheet name="404-3 - Performance review" sheetId="33" r:id="rId29"/>
    <sheet name="405-1 - Employee Age + Ethnicit" sheetId="9" r:id="rId30"/>
    <sheet name="405-2 - Remuneration" sheetId="10" r:id="rId31"/>
    <sheet name="411-1 Rights of Indigenous " sheetId="59" r:id="rId32"/>
    <sheet name="415-1 -Public Policy " sheetId="57" r:id="rId33"/>
    <sheet name="418-1 - Customer Privacy" sheetId="53" r:id="rId34"/>
    <sheet name="G4-AO1, 2, 3 - PAX, ATM, Cargo" sheetId="12" r:id="rId35"/>
    <sheet name="G4-AO4 &amp; 303 - Water" sheetId="38" r:id="rId36"/>
    <sheet name="G4-AO5 - Air Quality" sheetId="7" r:id="rId37"/>
    <sheet name="G4-A06 &amp; 306 - Waste" sheetId="18" r:id="rId38"/>
    <sheet name="G4-A07 - Noise Footprint" sheetId="8" r:id="rId39"/>
    <sheet name="G4-A08 - Economic Displacement" sheetId="52" r:id="rId40"/>
    <sheet name="GRESB RC7 - Noise Complaints" sheetId="46" r:id="rId41"/>
    <sheet name="G4-A09 - Animal Strike" sheetId="11" r:id="rId42"/>
    <sheet name="GRESB-LA11- Employee engagement" sheetId="35" r:id="rId43"/>
    <sheet name="Customer Satisfaction" sheetId="50" r:id="rId44"/>
  </sheets>
  <externalReferences>
    <externalReference r:id="rId45"/>
    <externalReference r:id="rId46"/>
  </externalReferences>
  <definedNames>
    <definedName name="_xlnm._FilterDatabase" localSheetId="3" hidden="1">'KPIs - EMA'!$A$2:$R$105</definedName>
    <definedName name="_xlnm._FilterDatabase" localSheetId="1" hidden="1">'KPIs - MAG'!$A$2:$R$105</definedName>
    <definedName name="_xlnm._FilterDatabase" localSheetId="4" hidden="1">'KPIs - MAN'!$A$2:$R$105</definedName>
    <definedName name="_xlnm._FilterDatabase" localSheetId="2" hidden="1">'KPIs - STN'!$A$2:$R$105</definedName>
    <definedName name="_xlnm.Print_Area" localSheetId="14">'304-2, 3, 4 - Biodiversity'!$C$1:$F$12</definedName>
    <definedName name="_xlnm.Print_Area" localSheetId="37">'G4-A06 &amp; 306 - Waste'!$A$1:$AK$78</definedName>
    <definedName name="_xlnm.Print_Area" localSheetId="35">'G4-AO4 &amp; 303 - Water'!$A$1:$I$63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A57" i="51" l="1"/>
  <c r="CA25" i="51"/>
  <c r="CA55" i="51"/>
  <c r="AI55" i="51"/>
  <c r="AI57" i="51" s="1"/>
  <c r="CB57" i="51"/>
  <c r="CC57" i="51"/>
  <c r="CF57" i="51"/>
  <c r="BZ57" i="51"/>
  <c r="BE57" i="51"/>
  <c r="BF57" i="51"/>
  <c r="BG57" i="51"/>
  <c r="BJ57" i="51"/>
  <c r="BD57" i="51"/>
  <c r="AO57" i="51"/>
  <c r="AQ57" i="51"/>
  <c r="AR57" i="51"/>
  <c r="AU57" i="51"/>
  <c r="AJ57" i="51"/>
  <c r="AK57" i="51"/>
  <c r="AN57" i="51"/>
  <c r="AH57" i="51"/>
  <c r="S57" i="51"/>
  <c r="S55" i="51"/>
  <c r="U57" i="51"/>
  <c r="V57" i="51"/>
  <c r="W57" i="51"/>
  <c r="X57" i="51"/>
  <c r="Y57" i="51"/>
  <c r="M57" i="51"/>
  <c r="N57" i="51"/>
  <c r="O57" i="51"/>
  <c r="P57" i="51"/>
  <c r="Q57" i="51"/>
  <c r="R57" i="51"/>
  <c r="L57" i="51"/>
  <c r="L28" i="51"/>
  <c r="M28" i="51"/>
  <c r="CG55" i="51"/>
  <c r="BZ55" i="51"/>
  <c r="BL55" i="51"/>
  <c r="BK55" i="51"/>
  <c r="BE55" i="51"/>
  <c r="BD55" i="51"/>
  <c r="AP55" i="51"/>
  <c r="AP57" i="51" s="1"/>
  <c r="AO55" i="51"/>
  <c r="AH55" i="51"/>
  <c r="R55" i="51"/>
  <c r="T55" i="51"/>
  <c r="T57" i="51" s="1"/>
  <c r="U55" i="51"/>
  <c r="V55" i="51"/>
  <c r="W55" i="51"/>
  <c r="X55" i="51"/>
  <c r="Y55" i="51"/>
  <c r="AF9" i="51"/>
  <c r="J9" i="51"/>
  <c r="CH28" i="51"/>
  <c r="AP28" i="51"/>
  <c r="AQ28" i="51"/>
  <c r="AR28" i="51"/>
  <c r="AS28" i="51"/>
  <c r="AO28" i="51"/>
  <c r="V28" i="51"/>
  <c r="W28" i="51"/>
  <c r="X28" i="51"/>
  <c r="Y28" i="51"/>
  <c r="U28" i="51"/>
  <c r="T28" i="51"/>
  <c r="AJ20" i="51"/>
  <c r="AA20" i="51"/>
  <c r="CH55" i="51"/>
  <c r="BE56" i="51" l="1"/>
  <c r="BF56" i="51"/>
  <c r="BG56" i="51"/>
  <c r="BH56" i="51"/>
  <c r="BI56" i="51"/>
  <c r="BJ56" i="51"/>
  <c r="BK56" i="51"/>
  <c r="BL56" i="51"/>
  <c r="BM56" i="51"/>
  <c r="BN56" i="51"/>
  <c r="BO56" i="51"/>
  <c r="BP56" i="51"/>
  <c r="BQ56" i="51"/>
  <c r="BD56" i="51"/>
  <c r="AO56" i="51"/>
  <c r="AP56" i="51"/>
  <c r="AQ56" i="51"/>
  <c r="AR56" i="51"/>
  <c r="AS56" i="51"/>
  <c r="AT56" i="51"/>
  <c r="AU56" i="51"/>
  <c r="AI56" i="51"/>
  <c r="AJ56" i="51"/>
  <c r="AK56" i="51"/>
  <c r="AL56" i="51"/>
  <c r="AM56" i="51"/>
  <c r="AN56" i="51"/>
  <c r="AH56" i="51"/>
  <c r="S56" i="51"/>
  <c r="T56" i="51"/>
  <c r="U56" i="51"/>
  <c r="V56" i="51"/>
  <c r="W56" i="51"/>
  <c r="X56" i="51"/>
  <c r="Y56" i="51"/>
  <c r="M56" i="51"/>
  <c r="N56" i="51"/>
  <c r="O56" i="51"/>
  <c r="P56" i="51"/>
  <c r="Q56" i="51"/>
  <c r="R56" i="51"/>
  <c r="L56" i="51"/>
  <c r="CI55" i="51"/>
  <c r="CJ55" i="51"/>
  <c r="CK55" i="51"/>
  <c r="CL55" i="51"/>
  <c r="CB55" i="51"/>
  <c r="CC55" i="51"/>
  <c r="CD55" i="51"/>
  <c r="CD57" i="51" s="1"/>
  <c r="CE55" i="51"/>
  <c r="CE57" i="51" s="1"/>
  <c r="CF55" i="51"/>
  <c r="BM55" i="51"/>
  <c r="BN55" i="51"/>
  <c r="BO55" i="51"/>
  <c r="BP55" i="51"/>
  <c r="BF55" i="51"/>
  <c r="BG55" i="51"/>
  <c r="BH55" i="51"/>
  <c r="BH57" i="51" s="1"/>
  <c r="BI55" i="51"/>
  <c r="BI57" i="51" s="1"/>
  <c r="BJ55" i="51"/>
  <c r="BE20" i="51"/>
  <c r="BE23" i="51"/>
  <c r="AX20" i="51"/>
  <c r="AQ55" i="51"/>
  <c r="AR55" i="51"/>
  <c r="AS55" i="51"/>
  <c r="AS57" i="51" s="1"/>
  <c r="AT55" i="51"/>
  <c r="AT57" i="51" s="1"/>
  <c r="AJ55" i="51"/>
  <c r="AK55" i="51"/>
  <c r="AL55" i="51"/>
  <c r="AL57" i="51" s="1"/>
  <c r="AM55" i="51"/>
  <c r="AM57" i="51" s="1"/>
  <c r="AN55" i="51"/>
  <c r="AP20" i="51"/>
  <c r="AQ20" i="51"/>
  <c r="AR20" i="51"/>
  <c r="AS20" i="51"/>
  <c r="AI20" i="51"/>
  <c r="AK20" i="51"/>
  <c r="AL20" i="51"/>
  <c r="AM20" i="51"/>
  <c r="AN20" i="51"/>
  <c r="AH20" i="51"/>
  <c r="AB20" i="51"/>
  <c r="M55" i="51"/>
  <c r="N55" i="51"/>
  <c r="O55" i="51"/>
  <c r="P55" i="51"/>
  <c r="Q55" i="51"/>
  <c r="L55" i="51"/>
  <c r="AA23" i="51"/>
  <c r="E20" i="51"/>
  <c r="E23" i="51"/>
  <c r="CG20" i="51"/>
  <c r="BZ28" i="51"/>
  <c r="BZ23" i="51"/>
  <c r="F23" i="51"/>
  <c r="BZ20" i="51"/>
  <c r="BE25" i="51" l="1"/>
  <c r="CG25" i="51"/>
  <c r="BZ25" i="51"/>
  <c r="AA25" i="51"/>
  <c r="AA24" i="51" s="1"/>
  <c r="E25" i="51"/>
  <c r="E24" i="51" s="1"/>
  <c r="BD20" i="51"/>
  <c r="BD28" i="51"/>
  <c r="BK26" i="51"/>
  <c r="BK28" i="51" s="1"/>
  <c r="AH28" i="51"/>
  <c r="AH23" i="51"/>
  <c r="AH25" i="51" s="1"/>
  <c r="AO6" i="51"/>
  <c r="AO20" i="51" s="1"/>
  <c r="CG28" i="51" l="1"/>
  <c r="CG57" i="51"/>
  <c r="S58" i="51"/>
  <c r="AG17" i="18"/>
  <c r="AG22" i="18"/>
  <c r="AO23" i="51" l="1"/>
  <c r="AO25" i="51" s="1"/>
  <c r="AW23" i="51"/>
  <c r="BD23" i="51"/>
  <c r="BD25" i="51" s="1"/>
  <c r="BS23" i="51"/>
  <c r="BS20" i="51"/>
  <c r="BS25" i="51" s="1"/>
  <c r="AW20" i="51"/>
  <c r="S27" i="51"/>
  <c r="S28" i="51" s="1"/>
  <c r="S20" i="51"/>
  <c r="S23" i="51"/>
  <c r="L23" i="51"/>
  <c r="L20" i="51"/>
  <c r="S25" i="51" l="1"/>
  <c r="BS24" i="51"/>
  <c r="AW25" i="51"/>
  <c r="L25" i="51"/>
  <c r="Y20" i="45"/>
  <c r="AC9" i="45"/>
  <c r="AC8" i="45"/>
  <c r="Z20" i="45"/>
  <c r="AW24" i="51" l="1"/>
  <c r="AC20" i="45"/>
  <c r="Q15" i="46"/>
  <c r="N26" i="46"/>
  <c r="O26" i="46"/>
  <c r="P26" i="46"/>
  <c r="Q26" i="46"/>
  <c r="Q20" i="46"/>
  <c r="N29" i="32"/>
  <c r="J29" i="32"/>
  <c r="AW43" i="9" l="1"/>
  <c r="AG14" i="18" l="1"/>
  <c r="AG9" i="18"/>
  <c r="AG4" i="18"/>
  <c r="AG19" i="18" s="1"/>
  <c r="AG11" i="18" l="1"/>
  <c r="AG6" i="18"/>
  <c r="AK41" i="18"/>
  <c r="AK54" i="18"/>
  <c r="AK56" i="18"/>
  <c r="AK57" i="18"/>
  <c r="AK59" i="18"/>
  <c r="I14" i="1"/>
  <c r="AB20" i="45" l="1"/>
  <c r="AB6" i="45" l="1"/>
  <c r="AA6" i="45"/>
  <c r="Z6" i="45"/>
  <c r="AC6" i="45" s="1"/>
  <c r="N28" i="32"/>
  <c r="I46" i="38" l="1"/>
  <c r="I34" i="38"/>
  <c r="I21" i="11"/>
  <c r="I20" i="11"/>
  <c r="AJ76" i="18" l="1"/>
  <c r="AI76" i="18"/>
  <c r="AH76" i="18"/>
  <c r="AG76" i="18"/>
  <c r="AJ75" i="18"/>
  <c r="AI75" i="18"/>
  <c r="AH75" i="18"/>
  <c r="AG75" i="18"/>
  <c r="AJ74" i="18"/>
  <c r="AI74" i="18"/>
  <c r="AH74" i="18"/>
  <c r="AG74" i="18"/>
  <c r="AJ73" i="18"/>
  <c r="AI73" i="18"/>
  <c r="AH73" i="18"/>
  <c r="AG73" i="18"/>
  <c r="AH72" i="18"/>
  <c r="AJ72" i="18"/>
  <c r="AI72" i="18"/>
  <c r="AG72" i="18"/>
  <c r="AJ71" i="18"/>
  <c r="AI71" i="18"/>
  <c r="AH71" i="18"/>
  <c r="AG71" i="18"/>
  <c r="AJ70" i="18"/>
  <c r="AI70" i="18"/>
  <c r="AH70" i="18"/>
  <c r="AG70" i="18"/>
  <c r="AJ69" i="18"/>
  <c r="AI69" i="18"/>
  <c r="AH69" i="18"/>
  <c r="AG69" i="18"/>
  <c r="AJ68" i="18"/>
  <c r="AI68" i="18"/>
  <c r="AH68" i="18"/>
  <c r="AG68" i="18"/>
  <c r="AJ67" i="18"/>
  <c r="AI67" i="18"/>
  <c r="AH67" i="18"/>
  <c r="AG67" i="18"/>
  <c r="AJ66" i="18"/>
  <c r="AI66" i="18"/>
  <c r="AH66" i="18"/>
  <c r="AG66" i="18"/>
  <c r="N21" i="31"/>
  <c r="I41" i="38"/>
  <c r="M14" i="47"/>
  <c r="I37" i="38"/>
  <c r="E68" i="8"/>
  <c r="D68" i="8"/>
  <c r="E60" i="8"/>
  <c r="D60" i="8"/>
  <c r="K20" i="32" l="1"/>
  <c r="L20" i="32"/>
  <c r="M20" i="32"/>
  <c r="N20" i="32"/>
  <c r="K13" i="32"/>
  <c r="L13" i="32"/>
  <c r="M13" i="32"/>
  <c r="N13" i="32"/>
  <c r="N32" i="32"/>
  <c r="M32" i="32"/>
  <c r="L32" i="32"/>
  <c r="K32" i="32"/>
  <c r="J32" i="32"/>
  <c r="I32" i="32"/>
  <c r="H32" i="32"/>
  <c r="G32" i="32"/>
  <c r="E32" i="32"/>
  <c r="D32" i="32"/>
  <c r="V8" i="20" l="1"/>
  <c r="J26" i="12"/>
  <c r="J16" i="12"/>
  <c r="N30" i="32" l="1"/>
  <c r="N33" i="32"/>
  <c r="N24" i="32"/>
  <c r="N17" i="32"/>
  <c r="N10" i="32"/>
  <c r="N22" i="31"/>
  <c r="N17" i="31"/>
  <c r="N16" i="31"/>
  <c r="N7" i="31"/>
  <c r="N8" i="31"/>
  <c r="N9" i="31"/>
  <c r="N6" i="31"/>
  <c r="Z8" i="45"/>
  <c r="Z9" i="45" s="1"/>
  <c r="AA8" i="45"/>
  <c r="AA9" i="45" s="1"/>
  <c r="AB8" i="45"/>
  <c r="AB9" i="45" s="1"/>
  <c r="K18" i="4"/>
  <c r="K17" i="4"/>
  <c r="I50" i="43"/>
  <c r="I52" i="43" s="1"/>
  <c r="J50" i="43"/>
  <c r="K50" i="43"/>
  <c r="L50" i="43"/>
  <c r="I51" i="43"/>
  <c r="J51" i="43"/>
  <c r="K51" i="43"/>
  <c r="L51" i="43"/>
  <c r="J52" i="43"/>
  <c r="K52" i="43"/>
  <c r="L52" i="43"/>
  <c r="I53" i="43"/>
  <c r="I55" i="43" s="1"/>
  <c r="J53" i="43"/>
  <c r="K53" i="43"/>
  <c r="L53" i="43"/>
  <c r="I54" i="43"/>
  <c r="J54" i="43"/>
  <c r="K54" i="43"/>
  <c r="L54" i="43"/>
  <c r="J55" i="43"/>
  <c r="K55" i="43"/>
  <c r="L55" i="43"/>
  <c r="I56" i="43"/>
  <c r="I58" i="43" s="1"/>
  <c r="J56" i="43"/>
  <c r="K56" i="43"/>
  <c r="L56" i="43"/>
  <c r="I57" i="43"/>
  <c r="J57" i="43"/>
  <c r="K57" i="43"/>
  <c r="L57" i="43"/>
  <c r="J58" i="43"/>
  <c r="K58" i="43"/>
  <c r="L58" i="43"/>
  <c r="I59" i="43"/>
  <c r="I61" i="43" s="1"/>
  <c r="J59" i="43"/>
  <c r="K59" i="43"/>
  <c r="L59" i="43"/>
  <c r="I60" i="43"/>
  <c r="J60" i="43"/>
  <c r="K60" i="43"/>
  <c r="L60" i="43"/>
  <c r="J61" i="43"/>
  <c r="K61" i="43"/>
  <c r="L61" i="43"/>
  <c r="I62" i="43"/>
  <c r="J62" i="43"/>
  <c r="K62" i="43"/>
  <c r="L62" i="43"/>
  <c r="I63" i="43"/>
  <c r="J63" i="43"/>
  <c r="K63" i="43"/>
  <c r="L63" i="43"/>
  <c r="I64" i="43"/>
  <c r="J64" i="43"/>
  <c r="K64" i="43"/>
  <c r="L64" i="43"/>
  <c r="I46" i="43"/>
  <c r="J46" i="43"/>
  <c r="K46" i="43"/>
  <c r="L46" i="43"/>
  <c r="I47" i="43"/>
  <c r="J47" i="43"/>
  <c r="K47" i="43"/>
  <c r="L47" i="43"/>
  <c r="I43" i="43"/>
  <c r="J43" i="43"/>
  <c r="K43" i="43"/>
  <c r="L43" i="43"/>
  <c r="I40" i="43"/>
  <c r="J40" i="43"/>
  <c r="K40" i="43"/>
  <c r="L40" i="43"/>
  <c r="I37" i="43"/>
  <c r="J37" i="43"/>
  <c r="K37" i="43"/>
  <c r="L37" i="43"/>
  <c r="I25" i="43"/>
  <c r="J25" i="43"/>
  <c r="K25" i="43"/>
  <c r="L25" i="43"/>
  <c r="H25" i="43"/>
  <c r="K28" i="43"/>
  <c r="L28" i="43"/>
  <c r="F28" i="43"/>
  <c r="G28" i="43"/>
  <c r="H28" i="43"/>
  <c r="I28" i="43"/>
  <c r="J28" i="43"/>
  <c r="H10" i="43"/>
  <c r="H22" i="43"/>
  <c r="K22" i="43"/>
  <c r="J22" i="43"/>
  <c r="I22" i="43"/>
  <c r="I17" i="43"/>
  <c r="I16" i="43"/>
  <c r="I13" i="43"/>
  <c r="I10" i="43"/>
  <c r="I7" i="43"/>
  <c r="L32" i="43"/>
  <c r="I32" i="43"/>
  <c r="J32" i="43"/>
  <c r="K32" i="43"/>
  <c r="I31" i="43"/>
  <c r="J31" i="43"/>
  <c r="K31" i="43"/>
  <c r="L31" i="43"/>
  <c r="L22" i="43"/>
  <c r="J17" i="43"/>
  <c r="K17" i="43"/>
  <c r="L17" i="43"/>
  <c r="J16" i="43"/>
  <c r="K16" i="43"/>
  <c r="L16" i="43"/>
  <c r="J13" i="43"/>
  <c r="K13" i="43"/>
  <c r="L13" i="43"/>
  <c r="J10" i="43"/>
  <c r="K10" i="43"/>
  <c r="L10" i="43"/>
  <c r="J7" i="43"/>
  <c r="K7" i="43"/>
  <c r="L7" i="43"/>
  <c r="J8" i="12"/>
  <c r="F8" i="50" s="1"/>
  <c r="F9" i="50" s="1"/>
  <c r="I12" i="11"/>
  <c r="I14" i="11" s="1"/>
  <c r="Q25" i="46"/>
  <c r="Q22" i="46"/>
  <c r="Q21" i="46"/>
  <c r="Q14" i="46"/>
  <c r="Q9" i="46"/>
  <c r="Q8" i="46"/>
  <c r="E67" i="8"/>
  <c r="D67" i="8"/>
  <c r="AF76" i="18"/>
  <c r="AE76" i="18"/>
  <c r="AD76" i="18"/>
  <c r="AC76" i="18"/>
  <c r="AB76" i="18"/>
  <c r="AE75" i="18"/>
  <c r="AD75" i="18"/>
  <c r="AC75" i="18"/>
  <c r="AB75" i="18"/>
  <c r="AE74" i="18"/>
  <c r="AD74" i="18"/>
  <c r="AC74" i="18"/>
  <c r="AB74" i="18"/>
  <c r="AE73" i="18"/>
  <c r="AD73" i="18"/>
  <c r="AC73" i="18"/>
  <c r="AB73" i="18"/>
  <c r="AE72" i="18"/>
  <c r="AD72" i="18"/>
  <c r="AC72" i="18"/>
  <c r="AB72" i="18"/>
  <c r="AF71" i="18"/>
  <c r="AE71" i="18"/>
  <c r="AD71" i="18"/>
  <c r="AC71" i="18"/>
  <c r="AB71" i="18"/>
  <c r="AE70" i="18"/>
  <c r="AD70" i="18"/>
  <c r="AC70" i="18"/>
  <c r="AB70" i="18"/>
  <c r="AE69" i="18"/>
  <c r="AD69" i="18"/>
  <c r="AC69" i="18"/>
  <c r="AE68" i="18"/>
  <c r="AD68" i="18"/>
  <c r="AC68" i="18"/>
  <c r="AB68" i="18"/>
  <c r="AE67" i="18"/>
  <c r="AC67" i="18"/>
  <c r="AE66" i="18"/>
  <c r="AD66" i="18"/>
  <c r="AC66" i="18"/>
  <c r="AB66" i="18"/>
  <c r="AE65" i="18"/>
  <c r="AD65" i="18"/>
  <c r="AC65" i="18"/>
  <c r="AB65" i="18"/>
  <c r="AE64" i="18"/>
  <c r="AD64" i="18"/>
  <c r="AC64" i="18"/>
  <c r="AB64" i="18"/>
  <c r="AF63" i="18"/>
  <c r="AF62" i="18"/>
  <c r="AF75" i="18" s="1"/>
  <c r="AF61" i="18"/>
  <c r="AF60" i="18"/>
  <c r="AF59" i="18"/>
  <c r="AF72" i="18" s="1"/>
  <c r="AF58" i="18"/>
  <c r="AF57" i="18"/>
  <c r="AF56" i="18"/>
  <c r="AF55" i="18"/>
  <c r="AF64" i="18" s="1"/>
  <c r="AF54" i="18"/>
  <c r="AF53" i="18"/>
  <c r="AE52" i="18"/>
  <c r="AE78" i="18" s="1"/>
  <c r="AD52" i="18"/>
  <c r="AD78" i="18" s="1"/>
  <c r="AC52" i="18"/>
  <c r="AC78" i="18" s="1"/>
  <c r="AB52" i="18"/>
  <c r="AE51" i="18"/>
  <c r="AE77" i="18" s="1"/>
  <c r="AD51" i="18"/>
  <c r="AC51" i="18"/>
  <c r="AC77" i="18" s="1"/>
  <c r="AB51" i="18"/>
  <c r="AF50" i="18"/>
  <c r="AF49" i="18"/>
  <c r="AF48" i="18"/>
  <c r="AF47" i="18"/>
  <c r="AF73" i="18" s="1"/>
  <c r="AF46" i="18"/>
  <c r="AF45" i="18"/>
  <c r="AF44" i="18"/>
  <c r="AF70" i="18" s="1"/>
  <c r="AF43" i="18"/>
  <c r="AF42" i="18"/>
  <c r="AF68" i="18" s="1"/>
  <c r="AF41" i="18"/>
  <c r="AF40" i="18"/>
  <c r="AF66" i="18" s="1"/>
  <c r="AE39" i="18"/>
  <c r="AC39" i="18"/>
  <c r="AE38" i="18"/>
  <c r="AC38" i="18"/>
  <c r="AF37" i="18"/>
  <c r="AF36" i="18"/>
  <c r="AF35" i="18"/>
  <c r="AF74" i="18" s="1"/>
  <c r="AF34" i="18"/>
  <c r="AB33" i="18"/>
  <c r="AF33" i="18" s="1"/>
  <c r="AF32" i="18"/>
  <c r="AF31" i="18"/>
  <c r="AD30" i="18"/>
  <c r="AB30" i="18"/>
  <c r="AB69" i="18" s="1"/>
  <c r="AF29" i="18"/>
  <c r="AD28" i="18"/>
  <c r="AD39" i="18" s="1"/>
  <c r="AB28" i="18"/>
  <c r="AB39" i="18" s="1"/>
  <c r="AF27" i="18"/>
  <c r="AB21" i="18"/>
  <c r="AB19" i="18"/>
  <c r="I63" i="38"/>
  <c r="I62" i="38"/>
  <c r="I60" i="38"/>
  <c r="I59" i="38"/>
  <c r="I55" i="38"/>
  <c r="I53" i="38"/>
  <c r="I52" i="38"/>
  <c r="I51" i="38"/>
  <c r="I50" i="38"/>
  <c r="I49" i="38"/>
  <c r="H63" i="38"/>
  <c r="H62" i="38"/>
  <c r="H60" i="38"/>
  <c r="H59" i="38"/>
  <c r="H55" i="38"/>
  <c r="H53" i="38"/>
  <c r="H52" i="38"/>
  <c r="H51" i="38"/>
  <c r="H50" i="38"/>
  <c r="H49" i="38"/>
  <c r="J19" i="12"/>
  <c r="J20" i="12" s="1"/>
  <c r="J13" i="12"/>
  <c r="I7" i="11" s="1"/>
  <c r="AW50" i="9"/>
  <c r="AS51" i="9" s="1"/>
  <c r="M7" i="47"/>
  <c r="M10" i="47"/>
  <c r="M13" i="47"/>
  <c r="M15" i="47"/>
  <c r="L15" i="47"/>
  <c r="L14" i="47"/>
  <c r="L16" i="47" s="1"/>
  <c r="L13" i="47"/>
  <c r="L10" i="47"/>
  <c r="L7" i="47"/>
  <c r="AA20" i="45"/>
  <c r="AU51" i="9" l="1"/>
  <c r="AQ51" i="9"/>
  <c r="M16" i="47"/>
  <c r="N31" i="32"/>
  <c r="N34" i="32"/>
  <c r="I8" i="11"/>
  <c r="I9" i="11"/>
  <c r="Q27" i="46"/>
  <c r="I17" i="11"/>
  <c r="I18" i="11" s="1"/>
  <c r="I19" i="11"/>
  <c r="I22" i="11"/>
  <c r="I23" i="11" s="1"/>
  <c r="I13" i="11"/>
  <c r="AB17" i="18"/>
  <c r="AB18" i="18"/>
  <c r="AF69" i="18"/>
  <c r="AB77" i="18"/>
  <c r="AB78" i="18"/>
  <c r="AD38" i="18"/>
  <c r="AD77" i="18" s="1"/>
  <c r="AF30" i="18"/>
  <c r="AD67" i="18"/>
  <c r="AF51" i="18"/>
  <c r="AF65" i="18"/>
  <c r="AB15" i="18" s="1"/>
  <c r="AB67" i="18"/>
  <c r="AF28" i="18"/>
  <c r="AF67" i="18" s="1"/>
  <c r="AB38" i="18"/>
  <c r="AF52" i="18"/>
  <c r="I24" i="11" l="1"/>
  <c r="AB13" i="18"/>
  <c r="AB12" i="18"/>
  <c r="AB10" i="18"/>
  <c r="AF39" i="18"/>
  <c r="AF38" i="18"/>
  <c r="AB8" i="18" s="1"/>
  <c r="AB5" i="18" l="1"/>
  <c r="AB7" i="18"/>
  <c r="AF78" i="18"/>
  <c r="AF77" i="18"/>
  <c r="AB23" i="18" l="1"/>
  <c r="AB22" i="18"/>
  <c r="AB20" i="18"/>
  <c r="K16" i="4" l="1"/>
  <c r="K13" i="4"/>
  <c r="K10" i="4"/>
  <c r="K7" i="4"/>
  <c r="K19" i="4" l="1"/>
  <c r="DE59" i="51"/>
  <c r="DD59" i="51"/>
  <c r="CZ59" i="51"/>
  <c r="CY59" i="51"/>
  <c r="CX59" i="51"/>
  <c r="CT59" i="51"/>
  <c r="CS59" i="51"/>
  <c r="CR59" i="51"/>
  <c r="CN59" i="51"/>
  <c r="DC55" i="51"/>
  <c r="DB55" i="51"/>
  <c r="DA55" i="51"/>
  <c r="CW55" i="51"/>
  <c r="CV55" i="51"/>
  <c r="CU55" i="51"/>
  <c r="CQ55" i="51"/>
  <c r="CP55" i="51"/>
  <c r="CO55" i="51"/>
  <c r="CM55" i="51"/>
  <c r="BQ55" i="51"/>
  <c r="AU55" i="51"/>
  <c r="CM28" i="51"/>
  <c r="CL28" i="51"/>
  <c r="CK28" i="51"/>
  <c r="CJ28" i="51"/>
  <c r="CI28" i="51"/>
  <c r="CC28" i="51"/>
  <c r="CB28" i="51"/>
  <c r="BO28" i="51"/>
  <c r="BN28" i="51"/>
  <c r="BH28" i="51"/>
  <c r="BG28" i="51"/>
  <c r="AL28" i="51"/>
  <c r="AK28" i="51"/>
  <c r="AJ28" i="51"/>
  <c r="AI28" i="51"/>
  <c r="P28" i="51"/>
  <c r="O28" i="51"/>
  <c r="N28" i="51"/>
  <c r="BL26" i="51"/>
  <c r="BL28" i="51" s="1"/>
  <c r="DC23" i="51"/>
  <c r="DB23" i="51"/>
  <c r="DA23" i="51"/>
  <c r="CW23" i="51"/>
  <c r="CV23" i="51"/>
  <c r="CU23" i="51"/>
  <c r="CQ23" i="51"/>
  <c r="CP23" i="51"/>
  <c r="CO23" i="51"/>
  <c r="CF23" i="51"/>
  <c r="CE23" i="51"/>
  <c r="CD23" i="51"/>
  <c r="CC23" i="51"/>
  <c r="CB23" i="51"/>
  <c r="CA23" i="51"/>
  <c r="BY23" i="51"/>
  <c r="BX23" i="51"/>
  <c r="BW23" i="51"/>
  <c r="BV23" i="51"/>
  <c r="BU23" i="51"/>
  <c r="BT23" i="51"/>
  <c r="BJ23" i="51"/>
  <c r="BI23" i="51"/>
  <c r="BH23" i="51"/>
  <c r="BG23" i="51"/>
  <c r="BF23" i="51"/>
  <c r="BC23" i="51"/>
  <c r="BB23" i="51"/>
  <c r="BA23" i="51"/>
  <c r="AZ23" i="51"/>
  <c r="AY23" i="51"/>
  <c r="AX23" i="51"/>
  <c r="AX25" i="51" s="1"/>
  <c r="AU23" i="51"/>
  <c r="AT23" i="51"/>
  <c r="AS23" i="51"/>
  <c r="AR23" i="51"/>
  <c r="AQ23" i="51"/>
  <c r="AP23" i="51"/>
  <c r="AP25" i="51" s="1"/>
  <c r="AN23" i="51"/>
  <c r="AM23" i="51"/>
  <c r="AL23" i="51"/>
  <c r="AK23" i="51"/>
  <c r="AJ23" i="51"/>
  <c r="AI23" i="51"/>
  <c r="AI25" i="51" s="1"/>
  <c r="AG23" i="51"/>
  <c r="AF23" i="51"/>
  <c r="AE23" i="51"/>
  <c r="AD23" i="51"/>
  <c r="AC23" i="51"/>
  <c r="AB23" i="51"/>
  <c r="AB25" i="51" s="1"/>
  <c r="Y23" i="51"/>
  <c r="X23" i="51"/>
  <c r="W23" i="51"/>
  <c r="V23" i="51"/>
  <c r="U23" i="51"/>
  <c r="T23" i="51"/>
  <c r="P23" i="51"/>
  <c r="O23" i="51"/>
  <c r="N23" i="51"/>
  <c r="M23" i="51"/>
  <c r="K23" i="51"/>
  <c r="K25" i="51" s="1"/>
  <c r="J23" i="51"/>
  <c r="I23" i="51"/>
  <c r="H23" i="51"/>
  <c r="G23" i="51"/>
  <c r="DC20" i="51"/>
  <c r="DB20" i="51"/>
  <c r="DA20" i="51"/>
  <c r="CW20" i="51"/>
  <c r="CV20" i="51"/>
  <c r="CU20" i="51"/>
  <c r="CQ20" i="51"/>
  <c r="CP20" i="51"/>
  <c r="CO20" i="51"/>
  <c r="CM20" i="51"/>
  <c r="CL20" i="51"/>
  <c r="CK20" i="51"/>
  <c r="CJ20" i="51"/>
  <c r="CI20" i="51"/>
  <c r="CF20" i="51"/>
  <c r="CE20" i="51"/>
  <c r="CD20" i="51"/>
  <c r="CC20" i="51"/>
  <c r="CB20" i="51"/>
  <c r="CA20" i="51"/>
  <c r="BY20" i="51"/>
  <c r="BX20" i="51"/>
  <c r="BW20" i="51"/>
  <c r="BV20" i="51"/>
  <c r="BU20" i="51"/>
  <c r="BT20" i="51"/>
  <c r="BQ20" i="51"/>
  <c r="BP20" i="51"/>
  <c r="BO20" i="51"/>
  <c r="BN20" i="51"/>
  <c r="BM20" i="51"/>
  <c r="BJ20" i="51"/>
  <c r="BI20" i="51"/>
  <c r="BH20" i="51"/>
  <c r="BG20" i="51"/>
  <c r="BF20" i="51"/>
  <c r="BC20" i="51"/>
  <c r="BB20" i="51"/>
  <c r="BA20" i="51"/>
  <c r="AZ20" i="51"/>
  <c r="AY20" i="51"/>
  <c r="AU20" i="51"/>
  <c r="AT20" i="51"/>
  <c r="AG20" i="51"/>
  <c r="AF20" i="51"/>
  <c r="AE20" i="51"/>
  <c r="AD20" i="51"/>
  <c r="AC20" i="51"/>
  <c r="Y20" i="51"/>
  <c r="X20" i="51"/>
  <c r="W20" i="51"/>
  <c r="V20" i="51"/>
  <c r="U20" i="51"/>
  <c r="R20" i="51"/>
  <c r="R25" i="51" s="1"/>
  <c r="Q20" i="51"/>
  <c r="Q25" i="51" s="1"/>
  <c r="P20" i="51"/>
  <c r="O20" i="51"/>
  <c r="N20" i="51"/>
  <c r="M20" i="51"/>
  <c r="J20" i="51"/>
  <c r="I20" i="51"/>
  <c r="H20" i="51"/>
  <c r="G20" i="51"/>
  <c r="F20" i="51"/>
  <c r="CH6" i="51"/>
  <c r="CH20" i="51" s="1"/>
  <c r="BL6" i="51"/>
  <c r="BL20" i="51" s="1"/>
  <c r="I8" i="12"/>
  <c r="F25" i="51" l="1"/>
  <c r="F24" i="51" s="1"/>
  <c r="J25" i="51"/>
  <c r="AB24" i="51"/>
  <c r="AQ25" i="51"/>
  <c r="DB25" i="51"/>
  <c r="DB59" i="51" s="1"/>
  <c r="AC25" i="51"/>
  <c r="AC24" i="51" s="1"/>
  <c r="CI25" i="51"/>
  <c r="BU25" i="51"/>
  <c r="BF25" i="51"/>
  <c r="U25" i="51"/>
  <c r="AJ25" i="51"/>
  <c r="AY25" i="51"/>
  <c r="AY24" i="51" s="1"/>
  <c r="BM25" i="51"/>
  <c r="CB25" i="51"/>
  <c r="CB59" i="51" s="1"/>
  <c r="CJ25" i="51"/>
  <c r="DC25" i="51"/>
  <c r="DC59" i="51" s="1"/>
  <c r="BN25" i="51"/>
  <c r="CC25" i="51"/>
  <c r="CC59" i="51" s="1"/>
  <c r="CQ25" i="51"/>
  <c r="M25" i="51"/>
  <c r="CH25" i="51"/>
  <c r="CP25" i="51"/>
  <c r="CP24" i="51" s="1"/>
  <c r="BV25" i="51"/>
  <c r="BV24" i="51" s="1"/>
  <c r="AR25" i="51"/>
  <c r="BG25" i="51"/>
  <c r="CO25" i="51"/>
  <c r="CO24" i="51" s="1"/>
  <c r="AD25" i="51"/>
  <c r="CU25" i="51"/>
  <c r="CU59" i="51" s="1"/>
  <c r="W25" i="51"/>
  <c r="BA25" i="51"/>
  <c r="CE25" i="51"/>
  <c r="CE59" i="51" s="1"/>
  <c r="CV25" i="51"/>
  <c r="CV59" i="51" s="1"/>
  <c r="X25" i="51"/>
  <c r="BB25" i="51"/>
  <c r="BB24" i="51" s="1"/>
  <c r="BQ25" i="51"/>
  <c r="CF25" i="51"/>
  <c r="CF59" i="51" s="1"/>
  <c r="CW25" i="51"/>
  <c r="CW59" i="51" s="1"/>
  <c r="P25" i="51"/>
  <c r="AG25" i="51"/>
  <c r="BJ25" i="51"/>
  <c r="BP25" i="51"/>
  <c r="O25" i="51"/>
  <c r="Y25" i="51"/>
  <c r="BC25" i="51"/>
  <c r="BC24" i="51" s="1"/>
  <c r="BT25" i="51"/>
  <c r="DA25" i="51"/>
  <c r="DA59" i="51" s="1"/>
  <c r="CA59" i="51"/>
  <c r="AF25" i="51"/>
  <c r="BI25" i="51"/>
  <c r="V25" i="51"/>
  <c r="AK25" i="51"/>
  <c r="AZ25" i="51"/>
  <c r="CK25" i="51"/>
  <c r="CD25" i="51"/>
  <c r="CD59" i="51" s="1"/>
  <c r="AS25" i="51"/>
  <c r="BH25" i="51"/>
  <c r="BY25" i="51"/>
  <c r="BY24" i="51" s="1"/>
  <c r="BL25" i="51"/>
  <c r="AM25" i="51"/>
  <c r="AT25" i="51"/>
  <c r="AN25" i="51"/>
  <c r="AU25" i="51"/>
  <c r="G25" i="51"/>
  <c r="G24" i="51" s="1"/>
  <c r="AL25" i="51"/>
  <c r="CL25" i="51"/>
  <c r="CM25" i="51"/>
  <c r="BO25" i="51"/>
  <c r="K24" i="51"/>
  <c r="H25" i="51"/>
  <c r="N25" i="51"/>
  <c r="I25" i="51"/>
  <c r="AE25" i="51"/>
  <c r="AE24" i="51" s="1"/>
  <c r="BW25" i="51"/>
  <c r="BX25" i="51"/>
  <c r="BX24" i="51" s="1"/>
  <c r="Q64" i="18"/>
  <c r="M18" i="18" s="1"/>
  <c r="Q51" i="18"/>
  <c r="Q38" i="18"/>
  <c r="M8" i="18" s="1"/>
  <c r="V64" i="18"/>
  <c r="R17" i="18" s="1"/>
  <c r="V38" i="18"/>
  <c r="R8" i="18" s="1"/>
  <c r="V51" i="18"/>
  <c r="R13" i="18" s="1"/>
  <c r="AA51" i="18"/>
  <c r="W12" i="18" s="1"/>
  <c r="AA38" i="18"/>
  <c r="W8" i="18"/>
  <c r="AK36" i="18"/>
  <c r="BQ59" i="51" l="1"/>
  <c r="BQ57" i="51"/>
  <c r="BP59" i="51"/>
  <c r="BP57" i="51"/>
  <c r="BO59" i="51"/>
  <c r="BO57" i="51"/>
  <c r="BN59" i="51"/>
  <c r="BN57" i="51"/>
  <c r="BM59" i="51"/>
  <c r="BM57" i="51"/>
  <c r="BL59" i="51"/>
  <c r="BL57" i="51"/>
  <c r="CM59" i="51"/>
  <c r="CM57" i="51"/>
  <c r="CL59" i="51"/>
  <c r="CL57" i="51"/>
  <c r="CK59" i="51"/>
  <c r="CK57" i="51"/>
  <c r="CJ59" i="51"/>
  <c r="CJ57" i="51"/>
  <c r="CI59" i="51"/>
  <c r="CI57" i="51"/>
  <c r="CH59" i="51"/>
  <c r="CH57" i="51"/>
  <c r="CO59" i="51"/>
  <c r="CQ24" i="51"/>
  <c r="CQ59" i="51"/>
  <c r="J24" i="51"/>
  <c r="CP59" i="51"/>
  <c r="BU24" i="51"/>
  <c r="AD24" i="51"/>
  <c r="AZ24" i="51"/>
  <c r="H24" i="51"/>
  <c r="BT24" i="51"/>
  <c r="BA24" i="51"/>
  <c r="AF24" i="51"/>
  <c r="AG24" i="51"/>
  <c r="AX24" i="51"/>
  <c r="BW24" i="51"/>
  <c r="W7" i="18"/>
  <c r="I24" i="51"/>
  <c r="R7" i="18"/>
  <c r="R12" i="18"/>
  <c r="W13" i="18"/>
  <c r="R18" i="18"/>
  <c r="L10" i="32" l="1"/>
  <c r="AC94" i="9" l="1"/>
  <c r="AN94" i="9"/>
  <c r="AN93" i="9"/>
  <c r="AL94" i="9"/>
  <c r="AL93" i="9"/>
  <c r="AJ94" i="9"/>
  <c r="AJ93" i="9"/>
  <c r="AE93" i="9"/>
  <c r="AC93" i="9"/>
  <c r="G20" i="45" l="1"/>
  <c r="M8" i="45"/>
  <c r="M9" i="45" s="1"/>
  <c r="AT75" i="23"/>
  <c r="AT74" i="23"/>
  <c r="AT73" i="23"/>
  <c r="AT72" i="23"/>
  <c r="AT71" i="23"/>
  <c r="AT70" i="23"/>
  <c r="AT67" i="23"/>
  <c r="AT65" i="23"/>
  <c r="AT64" i="23"/>
  <c r="AT62" i="23"/>
  <c r="AT61" i="23"/>
  <c r="AT60" i="23"/>
  <c r="AT57" i="23"/>
  <c r="AT56" i="23"/>
  <c r="AT50" i="23"/>
  <c r="AT49" i="23"/>
  <c r="AT48" i="23"/>
  <c r="AT47" i="23"/>
  <c r="AT46" i="23"/>
  <c r="AT45" i="23"/>
  <c r="AT42" i="23"/>
  <c r="AT40" i="23"/>
  <c r="AT39" i="23"/>
  <c r="AT37" i="23"/>
  <c r="AT36" i="23"/>
  <c r="AT35" i="23"/>
  <c r="AT32" i="23"/>
  <c r="AT31" i="23"/>
  <c r="AT25" i="23"/>
  <c r="AT24" i="23"/>
  <c r="AT23" i="23"/>
  <c r="AT22" i="23"/>
  <c r="AT21" i="23"/>
  <c r="AT20" i="23"/>
  <c r="AT17" i="23"/>
  <c r="AT15" i="23"/>
  <c r="AT14" i="23"/>
  <c r="AT12" i="23"/>
  <c r="AT11" i="23"/>
  <c r="AT10" i="23"/>
  <c r="AT7" i="23"/>
  <c r="AT6" i="23"/>
  <c r="AF6" i="23"/>
  <c r="AF75" i="23"/>
  <c r="AF74" i="23"/>
  <c r="AF73" i="23"/>
  <c r="AF72" i="23"/>
  <c r="AF71" i="23"/>
  <c r="AF70" i="23"/>
  <c r="AF67" i="23"/>
  <c r="AF65" i="23"/>
  <c r="AF64" i="23"/>
  <c r="AF62" i="23"/>
  <c r="AF61" i="23"/>
  <c r="AF60" i="23"/>
  <c r="AF57" i="23"/>
  <c r="AF56" i="23"/>
  <c r="AF50" i="23"/>
  <c r="AF49" i="23"/>
  <c r="AF48" i="23"/>
  <c r="AF47" i="23"/>
  <c r="AF46" i="23"/>
  <c r="AF45" i="23"/>
  <c r="AF42" i="23"/>
  <c r="AF40" i="23"/>
  <c r="AF39" i="23"/>
  <c r="AF37" i="23"/>
  <c r="AF36" i="23"/>
  <c r="AF35" i="23"/>
  <c r="AF32" i="23"/>
  <c r="AF31" i="23"/>
  <c r="AF25" i="23"/>
  <c r="AF24" i="23"/>
  <c r="AF23" i="23"/>
  <c r="AF22" i="23"/>
  <c r="AF21" i="23"/>
  <c r="AF20" i="23"/>
  <c r="AF17" i="23"/>
  <c r="AF15" i="23"/>
  <c r="AF14" i="23"/>
  <c r="AF12" i="23"/>
  <c r="AF11" i="23"/>
  <c r="AF10" i="23"/>
  <c r="AF7" i="23"/>
  <c r="P71" i="23"/>
  <c r="P72" i="23"/>
  <c r="P73" i="23"/>
  <c r="P74" i="23"/>
  <c r="P75" i="23"/>
  <c r="P70" i="23"/>
  <c r="P61" i="23"/>
  <c r="P62" i="23"/>
  <c r="P64" i="23"/>
  <c r="P65" i="23"/>
  <c r="P67" i="23"/>
  <c r="P60" i="23"/>
  <c r="P57" i="23"/>
  <c r="P56" i="23"/>
  <c r="P46" i="23"/>
  <c r="P47" i="23"/>
  <c r="P48" i="23"/>
  <c r="P49" i="23"/>
  <c r="P50" i="23"/>
  <c r="P45" i="23"/>
  <c r="P36" i="23"/>
  <c r="P37" i="23"/>
  <c r="P39" i="23"/>
  <c r="P40" i="23"/>
  <c r="P42" i="23"/>
  <c r="P35" i="23"/>
  <c r="P32" i="23"/>
  <c r="P31" i="23"/>
  <c r="P21" i="23"/>
  <c r="P22" i="23"/>
  <c r="P23" i="23"/>
  <c r="P24" i="23"/>
  <c r="P25" i="23"/>
  <c r="P20" i="23"/>
  <c r="P11" i="23"/>
  <c r="P12" i="23"/>
  <c r="P14" i="23"/>
  <c r="P15" i="23"/>
  <c r="P17" i="23"/>
  <c r="P10" i="23"/>
  <c r="P7" i="23"/>
  <c r="P6" i="23"/>
  <c r="D80" i="23"/>
  <c r="D81" i="23"/>
  <c r="D84" i="23"/>
  <c r="D85" i="23"/>
  <c r="D86" i="23"/>
  <c r="D88" i="23"/>
  <c r="D89" i="23"/>
  <c r="D90" i="23"/>
  <c r="D91" i="23"/>
  <c r="D94" i="23"/>
  <c r="D95" i="23"/>
  <c r="D96" i="23"/>
  <c r="D97" i="23"/>
  <c r="D98" i="23"/>
  <c r="D99" i="23"/>
  <c r="S21" i="23"/>
  <c r="S22" i="23"/>
  <c r="S23" i="23"/>
  <c r="S24" i="23"/>
  <c r="S25" i="23"/>
  <c r="S20" i="23"/>
  <c r="S11" i="23"/>
  <c r="S12" i="23"/>
  <c r="S14" i="23"/>
  <c r="S15" i="23"/>
  <c r="S17" i="23"/>
  <c r="S10" i="23"/>
  <c r="S7" i="23"/>
  <c r="S6" i="23"/>
  <c r="AI50" i="9"/>
  <c r="AB7" i="9"/>
  <c r="AB10" i="9"/>
  <c r="AB11" i="9"/>
  <c r="AB14" i="9"/>
  <c r="AB15" i="9"/>
  <c r="AB22" i="9"/>
  <c r="AB23" i="9"/>
  <c r="AB26" i="9"/>
  <c r="AB27" i="9"/>
  <c r="AB30" i="9"/>
  <c r="AB31" i="9"/>
  <c r="AB34" i="9"/>
  <c r="AB35" i="9"/>
  <c r="AB38" i="9"/>
  <c r="AB39" i="9"/>
  <c r="AB6" i="9"/>
  <c r="AI7" i="9"/>
  <c r="AI10" i="9"/>
  <c r="AI11" i="9"/>
  <c r="AI14" i="9"/>
  <c r="AI15" i="9"/>
  <c r="AI22" i="9"/>
  <c r="AI23" i="9"/>
  <c r="AI26" i="9"/>
  <c r="AI27" i="9"/>
  <c r="AI30" i="9"/>
  <c r="AI31" i="9"/>
  <c r="AI34" i="9"/>
  <c r="AI35" i="9"/>
  <c r="AI38" i="9"/>
  <c r="AI39" i="9"/>
  <c r="AI42" i="9"/>
  <c r="AI43" i="9"/>
  <c r="AI6" i="9"/>
  <c r="AP50" i="9"/>
  <c r="AN51" i="9" s="1"/>
  <c r="AP7" i="9"/>
  <c r="AP10" i="9"/>
  <c r="AP11" i="9"/>
  <c r="AP14" i="9"/>
  <c r="AP15" i="9"/>
  <c r="AP22" i="9"/>
  <c r="AP23" i="9"/>
  <c r="AP26" i="9"/>
  <c r="AP27" i="9"/>
  <c r="AP30" i="9"/>
  <c r="AP31" i="9"/>
  <c r="AP34" i="9"/>
  <c r="AP35" i="9"/>
  <c r="AP38" i="9"/>
  <c r="AP39" i="9"/>
  <c r="AP42" i="9"/>
  <c r="AP43" i="9"/>
  <c r="AP6" i="9"/>
  <c r="K30" i="32" l="1"/>
  <c r="K29" i="32"/>
  <c r="K31" i="32" s="1"/>
  <c r="K28" i="32"/>
  <c r="I22" i="31" l="1"/>
  <c r="I21" i="31"/>
  <c r="G14" i="1"/>
  <c r="H14" i="1"/>
  <c r="G55" i="38" l="1"/>
  <c r="AL51" i="9" l="1"/>
  <c r="AJ51" i="9"/>
  <c r="AK40" i="18" l="1"/>
  <c r="AK42" i="18"/>
  <c r="AK43" i="18"/>
  <c r="AK44" i="18"/>
  <c r="AK45" i="18"/>
  <c r="AK46" i="18"/>
  <c r="AK47" i="18"/>
  <c r="AK48" i="18"/>
  <c r="AK49" i="18"/>
  <c r="AK50" i="18"/>
  <c r="G63" i="38"/>
  <c r="G62" i="38"/>
  <c r="G60" i="38"/>
  <c r="G59" i="38"/>
  <c r="M28" i="32"/>
  <c r="J12" i="31" l="1"/>
  <c r="K20" i="45" l="1"/>
  <c r="AK51" i="18"/>
  <c r="AG12" i="18" l="1"/>
  <c r="AG13" i="18"/>
  <c r="AG39" i="18"/>
  <c r="I19" i="12" l="1"/>
  <c r="I16" i="12"/>
  <c r="E8" i="12"/>
  <c r="F8" i="12"/>
  <c r="G8" i="12"/>
  <c r="H8" i="12"/>
  <c r="D8" i="50" s="1"/>
  <c r="D9" i="50" s="1"/>
  <c r="E8" i="50"/>
  <c r="E9" i="50" s="1"/>
  <c r="D8" i="12"/>
  <c r="E26" i="12"/>
  <c r="F26" i="12"/>
  <c r="G26" i="12"/>
  <c r="H26" i="12"/>
  <c r="I26" i="12"/>
  <c r="D26" i="12"/>
  <c r="H20" i="12"/>
  <c r="E20" i="12"/>
  <c r="D20" i="12"/>
  <c r="F20" i="12"/>
  <c r="G20" i="12"/>
  <c r="X6" i="45"/>
  <c r="W6" i="45"/>
  <c r="J7" i="4"/>
  <c r="J10" i="4"/>
  <c r="J13" i="4"/>
  <c r="J16" i="4"/>
  <c r="J17" i="4"/>
  <c r="J18" i="4"/>
  <c r="AH90" i="23"/>
  <c r="AI90" i="23"/>
  <c r="AJ90" i="23"/>
  <c r="AK90" i="23"/>
  <c r="AL90" i="23"/>
  <c r="AM90" i="23"/>
  <c r="AN90" i="23"/>
  <c r="AO90" i="23"/>
  <c r="AP90" i="23"/>
  <c r="AQ90" i="23"/>
  <c r="AR90" i="23"/>
  <c r="AS90" i="23"/>
  <c r="P90" i="23"/>
  <c r="E90" i="23"/>
  <c r="F90" i="23"/>
  <c r="G90" i="23"/>
  <c r="H90" i="23"/>
  <c r="I90" i="23"/>
  <c r="J90" i="23"/>
  <c r="K90" i="23"/>
  <c r="L90" i="23"/>
  <c r="M90" i="23"/>
  <c r="N90" i="23"/>
  <c r="O90" i="23"/>
  <c r="AF90" i="23"/>
  <c r="AE86" i="23"/>
  <c r="I13" i="12"/>
  <c r="K15" i="47"/>
  <c r="J15" i="47"/>
  <c r="I15" i="47"/>
  <c r="K14" i="47"/>
  <c r="J14" i="47"/>
  <c r="I14" i="47"/>
  <c r="H14" i="47"/>
  <c r="G14" i="47"/>
  <c r="F14" i="47"/>
  <c r="E14" i="47"/>
  <c r="D14" i="47"/>
  <c r="K13" i="47"/>
  <c r="J13" i="47"/>
  <c r="I13" i="47"/>
  <c r="K10" i="47"/>
  <c r="J10" i="47"/>
  <c r="I10" i="47"/>
  <c r="K7" i="47"/>
  <c r="J7" i="47"/>
  <c r="I7" i="47"/>
  <c r="I20" i="12" l="1"/>
  <c r="AT90" i="23"/>
  <c r="K16" i="47"/>
  <c r="J16" i="47"/>
  <c r="I16" i="47"/>
  <c r="J19" i="4"/>
  <c r="C50" i="38" l="1"/>
  <c r="D50" i="38"/>
  <c r="C51" i="38"/>
  <c r="D51" i="38"/>
  <c r="C52" i="38"/>
  <c r="D52" i="38"/>
  <c r="E50" i="38"/>
  <c r="E51" i="38"/>
  <c r="E52" i="38"/>
  <c r="F50" i="38"/>
  <c r="F51" i="38"/>
  <c r="F52" i="38"/>
  <c r="G51" i="38"/>
  <c r="G52" i="38"/>
  <c r="G50" i="38"/>
  <c r="P25" i="46"/>
  <c r="P22" i="46"/>
  <c r="O22" i="46"/>
  <c r="N22" i="46"/>
  <c r="K25" i="46"/>
  <c r="L25" i="46"/>
  <c r="M25" i="46"/>
  <c r="N25" i="46"/>
  <c r="O25" i="46"/>
  <c r="I24" i="46"/>
  <c r="J24" i="46"/>
  <c r="L24" i="46"/>
  <c r="M24" i="46"/>
  <c r="K24" i="46"/>
  <c r="L21" i="46"/>
  <c r="M21" i="46"/>
  <c r="N21" i="46"/>
  <c r="O21" i="46"/>
  <c r="P21" i="46"/>
  <c r="K21" i="46"/>
  <c r="K20" i="46"/>
  <c r="M20" i="46"/>
  <c r="N20" i="46"/>
  <c r="O20" i="46"/>
  <c r="P20" i="46"/>
  <c r="L20" i="46"/>
  <c r="K15" i="46"/>
  <c r="M15" i="46"/>
  <c r="N15" i="46"/>
  <c r="O15" i="46"/>
  <c r="P15" i="46"/>
  <c r="L15" i="46"/>
  <c r="K14" i="46"/>
  <c r="M14" i="46"/>
  <c r="N14" i="46"/>
  <c r="O14" i="46"/>
  <c r="P14" i="46"/>
  <c r="L14" i="46"/>
  <c r="M9" i="46"/>
  <c r="N8" i="46"/>
  <c r="O8" i="46"/>
  <c r="P8" i="46"/>
  <c r="P9" i="46"/>
  <c r="O9" i="46"/>
  <c r="N9" i="46"/>
  <c r="K9" i="46"/>
  <c r="L9" i="46"/>
  <c r="J9" i="46"/>
  <c r="K8" i="46"/>
  <c r="L8" i="46"/>
  <c r="M8" i="46"/>
  <c r="J8" i="46"/>
  <c r="C17" i="11"/>
  <c r="D17" i="11"/>
  <c r="E17" i="11"/>
  <c r="F17" i="11"/>
  <c r="G17" i="11"/>
  <c r="G19" i="11" s="1"/>
  <c r="C7" i="11"/>
  <c r="C9" i="11" s="1"/>
  <c r="D7" i="11"/>
  <c r="E7" i="11"/>
  <c r="F7" i="11"/>
  <c r="G7" i="11"/>
  <c r="G9" i="11" s="1"/>
  <c r="C12" i="11"/>
  <c r="D12" i="11"/>
  <c r="E12" i="11"/>
  <c r="F12" i="11"/>
  <c r="G12" i="11"/>
  <c r="G13" i="11" s="1"/>
  <c r="H17" i="11"/>
  <c r="H19" i="11" s="1"/>
  <c r="H12" i="11"/>
  <c r="H7" i="11"/>
  <c r="H8" i="11" s="1"/>
  <c r="B20" i="45"/>
  <c r="C20" i="45"/>
  <c r="D20" i="45"/>
  <c r="E20" i="45"/>
  <c r="V20" i="45"/>
  <c r="W20" i="45"/>
  <c r="X20" i="45"/>
  <c r="J20" i="45"/>
  <c r="L20" i="45"/>
  <c r="M20" i="45"/>
  <c r="F20" i="45"/>
  <c r="I20" i="45"/>
  <c r="H20" i="45"/>
  <c r="U8" i="45"/>
  <c r="V6" i="45"/>
  <c r="S6" i="45"/>
  <c r="T6" i="45"/>
  <c r="R6" i="45"/>
  <c r="N6" i="45"/>
  <c r="P6" i="45"/>
  <c r="O6" i="45"/>
  <c r="G53" i="38"/>
  <c r="H25" i="46"/>
  <c r="G25" i="46"/>
  <c r="M23" i="46"/>
  <c r="L23" i="46"/>
  <c r="K23" i="46"/>
  <c r="J23" i="46"/>
  <c r="J22" i="46" s="1"/>
  <c r="I23" i="46"/>
  <c r="I22" i="46" s="1"/>
  <c r="H23" i="46"/>
  <c r="G23" i="46"/>
  <c r="J21" i="46"/>
  <c r="I21" i="46"/>
  <c r="J20" i="46"/>
  <c r="I20" i="46"/>
  <c r="H16" i="46"/>
  <c r="H21" i="46" s="1"/>
  <c r="G16" i="46"/>
  <c r="G21" i="46" s="1"/>
  <c r="H15" i="46"/>
  <c r="H14" i="46"/>
  <c r="J10" i="46"/>
  <c r="J15" i="46" s="1"/>
  <c r="I10" i="46"/>
  <c r="I14" i="46" s="1"/>
  <c r="G10" i="46"/>
  <c r="G15" i="46" s="1"/>
  <c r="G9" i="46"/>
  <c r="I4" i="46"/>
  <c r="I8" i="46" s="1"/>
  <c r="H4" i="46"/>
  <c r="H8" i="46" s="1"/>
  <c r="Y8" i="45"/>
  <c r="X8" i="45"/>
  <c r="X9" i="45" s="1"/>
  <c r="W8" i="45"/>
  <c r="W9" i="45" s="1"/>
  <c r="V8" i="45"/>
  <c r="T8" i="45"/>
  <c r="S8" i="45"/>
  <c r="R8" i="45"/>
  <c r="Q8" i="45"/>
  <c r="P8" i="45"/>
  <c r="O8" i="45"/>
  <c r="N8" i="45"/>
  <c r="L8" i="45"/>
  <c r="L9" i="45" s="1"/>
  <c r="K8" i="45"/>
  <c r="K9" i="45" s="1"/>
  <c r="J8" i="45"/>
  <c r="J9" i="45" s="1"/>
  <c r="I8" i="45"/>
  <c r="I9" i="45" s="1"/>
  <c r="H8" i="45"/>
  <c r="H9" i="45" s="1"/>
  <c r="G8" i="45"/>
  <c r="G9" i="45" s="1"/>
  <c r="F8" i="45"/>
  <c r="F9" i="45" s="1"/>
  <c r="E8" i="45"/>
  <c r="E9" i="45" s="1"/>
  <c r="D8" i="45"/>
  <c r="D9" i="45" s="1"/>
  <c r="C8" i="45"/>
  <c r="C9" i="45" s="1"/>
  <c r="B8" i="45"/>
  <c r="B9" i="45" s="1"/>
  <c r="H63" i="43"/>
  <c r="G63" i="43"/>
  <c r="F63" i="43"/>
  <c r="H60" i="43"/>
  <c r="H59" i="43"/>
  <c r="G59" i="43"/>
  <c r="F59" i="43"/>
  <c r="H57" i="43"/>
  <c r="F57" i="43"/>
  <c r="H56" i="43"/>
  <c r="G56" i="43"/>
  <c r="F56" i="43"/>
  <c r="H54" i="43"/>
  <c r="H53" i="43"/>
  <c r="G53" i="43"/>
  <c r="F53" i="43"/>
  <c r="H51" i="43"/>
  <c r="H50" i="43"/>
  <c r="G50" i="43"/>
  <c r="F50" i="43"/>
  <c r="H47" i="43"/>
  <c r="G47" i="43"/>
  <c r="F47" i="43"/>
  <c r="H46" i="43"/>
  <c r="G45" i="43"/>
  <c r="F45" i="43"/>
  <c r="H43" i="43"/>
  <c r="G42" i="43"/>
  <c r="F42" i="43"/>
  <c r="H40" i="43"/>
  <c r="G39" i="43"/>
  <c r="G54" i="43" s="1"/>
  <c r="G55" i="43" s="1"/>
  <c r="F39" i="43"/>
  <c r="F54" i="43" s="1"/>
  <c r="F55" i="43" s="1"/>
  <c r="H37" i="43"/>
  <c r="G36" i="43"/>
  <c r="F36" i="43"/>
  <c r="H32" i="43"/>
  <c r="G32" i="43"/>
  <c r="F32" i="43"/>
  <c r="H31" i="43"/>
  <c r="H17" i="43"/>
  <c r="G17" i="43"/>
  <c r="F17" i="43"/>
  <c r="H16" i="43"/>
  <c r="G15" i="43"/>
  <c r="F15" i="43"/>
  <c r="H13" i="43"/>
  <c r="G12" i="43"/>
  <c r="F12" i="43"/>
  <c r="G9" i="43"/>
  <c r="F9" i="43"/>
  <c r="H7" i="43"/>
  <c r="G6" i="43"/>
  <c r="F6" i="43"/>
  <c r="L22" i="46" l="1"/>
  <c r="I15" i="46"/>
  <c r="H9" i="46"/>
  <c r="M22" i="46"/>
  <c r="M27" i="46" s="1"/>
  <c r="K22" i="46"/>
  <c r="I9" i="46"/>
  <c r="J14" i="46"/>
  <c r="T9" i="45"/>
  <c r="Q6" i="45"/>
  <c r="Q9" i="45" s="1"/>
  <c r="O9" i="45"/>
  <c r="P9" i="45"/>
  <c r="R9" i="45"/>
  <c r="S9" i="45"/>
  <c r="V9" i="45"/>
  <c r="N9" i="45"/>
  <c r="F8" i="11"/>
  <c r="F9" i="11"/>
  <c r="F18" i="11"/>
  <c r="F19" i="11"/>
  <c r="E18" i="11"/>
  <c r="E19" i="11"/>
  <c r="D18" i="11"/>
  <c r="D19" i="11"/>
  <c r="D9" i="11"/>
  <c r="D8" i="11"/>
  <c r="C8" i="11"/>
  <c r="H13" i="11"/>
  <c r="H14" i="11"/>
  <c r="C18" i="11"/>
  <c r="C19" i="11"/>
  <c r="D14" i="11"/>
  <c r="D13" i="11"/>
  <c r="E8" i="11"/>
  <c r="E9" i="11"/>
  <c r="F13" i="11"/>
  <c r="F14" i="11"/>
  <c r="E14" i="11"/>
  <c r="E13" i="11"/>
  <c r="C14" i="11"/>
  <c r="C13" i="11"/>
  <c r="G22" i="46"/>
  <c r="H22" i="46"/>
  <c r="H27" i="46" s="1"/>
  <c r="P27" i="46"/>
  <c r="H52" i="43"/>
  <c r="F60" i="43"/>
  <c r="G8" i="11"/>
  <c r="H18" i="11"/>
  <c r="G14" i="11"/>
  <c r="N27" i="46"/>
  <c r="O27" i="46"/>
  <c r="U6" i="45"/>
  <c r="U9" i="45" s="1"/>
  <c r="H9" i="11"/>
  <c r="G18" i="11"/>
  <c r="Y6" i="45"/>
  <c r="Y9" i="45" s="1"/>
  <c r="L27" i="46"/>
  <c r="L26" i="46"/>
  <c r="I27" i="46"/>
  <c r="I26" i="46"/>
  <c r="J27" i="46"/>
  <c r="J26" i="46"/>
  <c r="K27" i="46"/>
  <c r="K26" i="46"/>
  <c r="H20" i="46"/>
  <c r="F62" i="43"/>
  <c r="G62" i="43"/>
  <c r="G64" i="43" s="1"/>
  <c r="F58" i="43"/>
  <c r="H62" i="43"/>
  <c r="H58" i="43"/>
  <c r="G57" i="43"/>
  <c r="G58" i="43" s="1"/>
  <c r="G60" i="43"/>
  <c r="G61" i="43" s="1"/>
  <c r="F64" i="43"/>
  <c r="F51" i="43"/>
  <c r="F52" i="43" s="1"/>
  <c r="G51" i="43"/>
  <c r="G52" i="43" s="1"/>
  <c r="H61" i="43"/>
  <c r="F61" i="43"/>
  <c r="H64" i="43"/>
  <c r="H55" i="43"/>
  <c r="AU31" i="23"/>
  <c r="AG31" i="23"/>
  <c r="H20" i="11"/>
  <c r="H21" i="11"/>
  <c r="H22" i="11"/>
  <c r="E59" i="8"/>
  <c r="D59" i="8"/>
  <c r="AK55" i="18"/>
  <c r="AK58" i="18"/>
  <c r="AK60" i="18"/>
  <c r="AK61" i="18"/>
  <c r="AK62" i="18"/>
  <c r="AK63" i="18"/>
  <c r="AK53" i="18"/>
  <c r="AK29" i="18"/>
  <c r="AK31" i="18"/>
  <c r="AK32" i="18"/>
  <c r="AK34" i="18"/>
  <c r="AK35" i="18"/>
  <c r="AK37" i="18"/>
  <c r="AK27" i="18"/>
  <c r="AH51" i="18"/>
  <c r="AI51" i="18"/>
  <c r="AJ51" i="18"/>
  <c r="AG51" i="18"/>
  <c r="AJ65" i="18"/>
  <c r="AI65" i="18"/>
  <c r="AH65" i="18"/>
  <c r="AG65" i="18"/>
  <c r="AJ64" i="18"/>
  <c r="AI64" i="18"/>
  <c r="AH64" i="18"/>
  <c r="AG64" i="18"/>
  <c r="AJ52" i="18"/>
  <c r="AI52" i="18"/>
  <c r="AH52" i="18"/>
  <c r="AG52" i="18"/>
  <c r="AJ39" i="18"/>
  <c r="AI39" i="18"/>
  <c r="AH39" i="18"/>
  <c r="AJ38" i="18"/>
  <c r="AI38" i="18"/>
  <c r="AH38" i="18"/>
  <c r="AG38" i="18"/>
  <c r="AG21" i="18"/>
  <c r="I23" i="7"/>
  <c r="M33" i="32"/>
  <c r="M30" i="32"/>
  <c r="M29" i="32"/>
  <c r="M27" i="32"/>
  <c r="M24" i="32"/>
  <c r="M17" i="32"/>
  <c r="M10" i="32"/>
  <c r="S8" i="20"/>
  <c r="AH99" i="23"/>
  <c r="AI99" i="23"/>
  <c r="AJ99" i="23"/>
  <c r="AK99" i="23"/>
  <c r="AL99" i="23"/>
  <c r="AM99" i="23"/>
  <c r="AN99" i="23"/>
  <c r="AO99" i="23"/>
  <c r="AP99" i="23"/>
  <c r="AQ99" i="23"/>
  <c r="AR99" i="23"/>
  <c r="AS99" i="23"/>
  <c r="AH98" i="23"/>
  <c r="AI98" i="23"/>
  <c r="AJ98" i="23"/>
  <c r="AK98" i="23"/>
  <c r="AL98" i="23"/>
  <c r="AM98" i="23"/>
  <c r="AN98" i="23"/>
  <c r="AO98" i="23"/>
  <c r="AP98" i="23"/>
  <c r="AQ98" i="23"/>
  <c r="AR98" i="23"/>
  <c r="AS98" i="23"/>
  <c r="AH97" i="23"/>
  <c r="AI97" i="23"/>
  <c r="AJ97" i="23"/>
  <c r="AK97" i="23"/>
  <c r="AL97" i="23"/>
  <c r="AM97" i="23"/>
  <c r="AN97" i="23"/>
  <c r="AO97" i="23"/>
  <c r="AP97" i="23"/>
  <c r="AQ97" i="23"/>
  <c r="AR97" i="23"/>
  <c r="AS97" i="23"/>
  <c r="AH96" i="23"/>
  <c r="AI96" i="23"/>
  <c r="AJ96" i="23"/>
  <c r="AK96" i="23"/>
  <c r="AL96" i="23"/>
  <c r="AM96" i="23"/>
  <c r="AN96" i="23"/>
  <c r="AO96" i="23"/>
  <c r="AP96" i="23"/>
  <c r="AQ96" i="23"/>
  <c r="AR96" i="23"/>
  <c r="AS96" i="23"/>
  <c r="AH95" i="23"/>
  <c r="AI95" i="23"/>
  <c r="AJ95" i="23"/>
  <c r="AK95" i="23"/>
  <c r="AL95" i="23"/>
  <c r="AM95" i="23"/>
  <c r="AN95" i="23"/>
  <c r="AO95" i="23"/>
  <c r="AP95" i="23"/>
  <c r="AQ95" i="23"/>
  <c r="AR95" i="23"/>
  <c r="AS95" i="23"/>
  <c r="AH94" i="23"/>
  <c r="AI94" i="23"/>
  <c r="AJ94" i="23"/>
  <c r="AK94" i="23"/>
  <c r="AL94" i="23"/>
  <c r="AM94" i="23"/>
  <c r="AN94" i="23"/>
  <c r="AO94" i="23"/>
  <c r="AP94" i="23"/>
  <c r="AQ94" i="23"/>
  <c r="AR94" i="23"/>
  <c r="AS94" i="23"/>
  <c r="AH91" i="23"/>
  <c r="AI91" i="23"/>
  <c r="AJ91" i="23"/>
  <c r="AK91" i="23"/>
  <c r="AL91" i="23"/>
  <c r="AM91" i="23"/>
  <c r="AN91" i="23"/>
  <c r="AO91" i="23"/>
  <c r="AP91" i="23"/>
  <c r="AQ91" i="23"/>
  <c r="AR91" i="23"/>
  <c r="AS91" i="23"/>
  <c r="AH89" i="23"/>
  <c r="AI89" i="23"/>
  <c r="AJ89" i="23"/>
  <c r="AK89" i="23"/>
  <c r="AL89" i="23"/>
  <c r="AM89" i="23"/>
  <c r="AN89" i="23"/>
  <c r="AO89" i="23"/>
  <c r="AP89" i="23"/>
  <c r="AQ89" i="23"/>
  <c r="AR89" i="23"/>
  <c r="AS89" i="23"/>
  <c r="AH88" i="23"/>
  <c r="AI88" i="23"/>
  <c r="AJ88" i="23"/>
  <c r="AK88" i="23"/>
  <c r="AL88" i="23"/>
  <c r="AM88" i="23"/>
  <c r="AN88" i="23"/>
  <c r="AO88" i="23"/>
  <c r="AP88" i="23"/>
  <c r="AQ88" i="23"/>
  <c r="AR88" i="23"/>
  <c r="AS88" i="23"/>
  <c r="AH86" i="23"/>
  <c r="AI86" i="23"/>
  <c r="AJ86" i="23"/>
  <c r="AK86" i="23"/>
  <c r="AL86" i="23"/>
  <c r="AM86" i="23"/>
  <c r="AN86" i="23"/>
  <c r="AO86" i="23"/>
  <c r="AP86" i="23"/>
  <c r="AQ86" i="23"/>
  <c r="AR86" i="23"/>
  <c r="AS86" i="23"/>
  <c r="AH85" i="23"/>
  <c r="AI85" i="23"/>
  <c r="AJ85" i="23"/>
  <c r="AK85" i="23"/>
  <c r="AL85" i="23"/>
  <c r="AM85" i="23"/>
  <c r="AN85" i="23"/>
  <c r="AO85" i="23"/>
  <c r="AP85" i="23"/>
  <c r="AQ85" i="23"/>
  <c r="AR85" i="23"/>
  <c r="AS85" i="23"/>
  <c r="AH84" i="23"/>
  <c r="AI84" i="23"/>
  <c r="AJ84" i="23"/>
  <c r="AK84" i="23"/>
  <c r="AL84" i="23"/>
  <c r="AM84" i="23"/>
  <c r="AN84" i="23"/>
  <c r="AO84" i="23"/>
  <c r="AP84" i="23"/>
  <c r="AQ84" i="23"/>
  <c r="AR84" i="23"/>
  <c r="AS84" i="23"/>
  <c r="AH81" i="23"/>
  <c r="AI81" i="23"/>
  <c r="AJ81" i="23"/>
  <c r="AK81" i="23"/>
  <c r="AL81" i="23"/>
  <c r="AM81" i="23"/>
  <c r="AN81" i="23"/>
  <c r="AO81" i="23"/>
  <c r="AP81" i="23"/>
  <c r="AQ81" i="23"/>
  <c r="AR81" i="23"/>
  <c r="AS81" i="23"/>
  <c r="AH80" i="23"/>
  <c r="AI80" i="23"/>
  <c r="AJ80" i="23"/>
  <c r="AK80" i="23"/>
  <c r="AL80" i="23"/>
  <c r="AM80" i="23"/>
  <c r="AN80" i="23"/>
  <c r="AO80" i="23"/>
  <c r="AP80" i="23"/>
  <c r="AQ80" i="23"/>
  <c r="AR80" i="23"/>
  <c r="AS80" i="23"/>
  <c r="O80" i="23"/>
  <c r="N80" i="23"/>
  <c r="M80" i="23"/>
  <c r="L80" i="23"/>
  <c r="K80" i="23"/>
  <c r="J80" i="23"/>
  <c r="I80" i="23"/>
  <c r="O81" i="23"/>
  <c r="N81" i="23"/>
  <c r="M81" i="23"/>
  <c r="L81" i="23"/>
  <c r="K81" i="23"/>
  <c r="J81" i="23"/>
  <c r="I81" i="23"/>
  <c r="O84" i="23"/>
  <c r="N84" i="23"/>
  <c r="M84" i="23"/>
  <c r="L84" i="23"/>
  <c r="K84" i="23"/>
  <c r="J84" i="23"/>
  <c r="I84" i="23"/>
  <c r="O85" i="23"/>
  <c r="N85" i="23"/>
  <c r="M85" i="23"/>
  <c r="L85" i="23"/>
  <c r="K85" i="23"/>
  <c r="J85" i="23"/>
  <c r="I85" i="23"/>
  <c r="O86" i="23"/>
  <c r="N86" i="23"/>
  <c r="M86" i="23"/>
  <c r="L86" i="23"/>
  <c r="K86" i="23"/>
  <c r="J86" i="23"/>
  <c r="I86" i="23"/>
  <c r="O88" i="23"/>
  <c r="N88" i="23"/>
  <c r="M88" i="23"/>
  <c r="L88" i="23"/>
  <c r="K88" i="23"/>
  <c r="J88" i="23"/>
  <c r="I88" i="23"/>
  <c r="O89" i="23"/>
  <c r="N89" i="23"/>
  <c r="M89" i="23"/>
  <c r="L89" i="23"/>
  <c r="K89" i="23"/>
  <c r="J89" i="23"/>
  <c r="I89" i="23"/>
  <c r="O91" i="23"/>
  <c r="N91" i="23"/>
  <c r="M91" i="23"/>
  <c r="L91" i="23"/>
  <c r="K91" i="23"/>
  <c r="J91" i="23"/>
  <c r="I91" i="23"/>
  <c r="O94" i="23"/>
  <c r="N94" i="23"/>
  <c r="M94" i="23"/>
  <c r="L94" i="23"/>
  <c r="K94" i="23"/>
  <c r="J94" i="23"/>
  <c r="I94" i="23"/>
  <c r="O95" i="23"/>
  <c r="N95" i="23"/>
  <c r="M95" i="23"/>
  <c r="L95" i="23"/>
  <c r="K95" i="23"/>
  <c r="J95" i="23"/>
  <c r="I95" i="23"/>
  <c r="O96" i="23"/>
  <c r="N96" i="23"/>
  <c r="M96" i="23"/>
  <c r="L96" i="23"/>
  <c r="K96" i="23"/>
  <c r="J96" i="23"/>
  <c r="I96" i="23"/>
  <c r="O97" i="23"/>
  <c r="N97" i="23"/>
  <c r="M97" i="23"/>
  <c r="L97" i="23"/>
  <c r="K97" i="23"/>
  <c r="J97" i="23"/>
  <c r="I97" i="23"/>
  <c r="O98" i="23"/>
  <c r="N98" i="23"/>
  <c r="M98" i="23"/>
  <c r="L98" i="23"/>
  <c r="K98" i="23"/>
  <c r="J98" i="23"/>
  <c r="I98" i="23"/>
  <c r="O99" i="23"/>
  <c r="N99" i="23"/>
  <c r="M99" i="23"/>
  <c r="L99" i="23"/>
  <c r="K99" i="23"/>
  <c r="J99" i="23"/>
  <c r="I99" i="23"/>
  <c r="C22" i="11"/>
  <c r="D22" i="11"/>
  <c r="E22" i="11"/>
  <c r="F22" i="11"/>
  <c r="Y64" i="18"/>
  <c r="Z64" i="18"/>
  <c r="X64" i="18"/>
  <c r="W64" i="18"/>
  <c r="R6" i="42"/>
  <c r="R7" i="42"/>
  <c r="R8" i="42"/>
  <c r="R9" i="42"/>
  <c r="R10" i="42"/>
  <c r="R11" i="42"/>
  <c r="R12" i="42"/>
  <c r="R13" i="42"/>
  <c r="R14" i="42"/>
  <c r="R15" i="42"/>
  <c r="R16" i="42"/>
  <c r="R5" i="42"/>
  <c r="AK38" i="18" l="1"/>
  <c r="AG7" i="18" s="1"/>
  <c r="AK39" i="18"/>
  <c r="M34" i="32"/>
  <c r="M26" i="46"/>
  <c r="H26" i="46"/>
  <c r="AK64" i="18"/>
  <c r="Q42" i="23"/>
  <c r="Q31" i="23"/>
  <c r="Q7" i="23"/>
  <c r="Q67" i="23"/>
  <c r="Q57" i="23"/>
  <c r="Q70" i="23"/>
  <c r="Q22" i="23"/>
  <c r="Q46" i="23"/>
  <c r="Q17" i="23"/>
  <c r="Q21" i="23"/>
  <c r="Q32" i="23"/>
  <c r="Q65" i="23"/>
  <c r="Q75" i="23"/>
  <c r="Q11" i="23"/>
  <c r="Q45" i="23"/>
  <c r="Q74" i="23"/>
  <c r="Q56" i="23"/>
  <c r="Q10" i="23"/>
  <c r="Q50" i="23"/>
  <c r="Q73" i="23"/>
  <c r="Q25" i="23"/>
  <c r="Q49" i="23"/>
  <c r="Q72" i="23"/>
  <c r="Q24" i="23"/>
  <c r="Q6" i="23"/>
  <c r="Q48" i="23"/>
  <c r="Q71" i="23"/>
  <c r="Q23" i="23"/>
  <c r="Q47" i="23"/>
  <c r="Q20" i="23"/>
  <c r="Q64" i="23"/>
  <c r="Q40" i="23"/>
  <c r="Q35" i="23"/>
  <c r="Q62" i="23"/>
  <c r="Q15" i="23"/>
  <c r="Q39" i="23"/>
  <c r="Q61" i="23"/>
  <c r="Q14" i="23"/>
  <c r="Q37" i="23"/>
  <c r="Q60" i="23"/>
  <c r="Q66" i="23"/>
  <c r="Q12" i="23"/>
  <c r="Q36" i="23"/>
  <c r="AU6" i="23"/>
  <c r="AG50" i="23"/>
  <c r="AG46" i="23"/>
  <c r="AG35" i="23"/>
  <c r="AG40" i="23"/>
  <c r="AG49" i="23"/>
  <c r="AG48" i="23"/>
  <c r="AG47" i="23"/>
  <c r="AG42" i="23"/>
  <c r="AG39" i="23"/>
  <c r="AG32" i="23"/>
  <c r="AG37" i="23"/>
  <c r="AG36" i="23"/>
  <c r="AG45" i="23"/>
  <c r="P95" i="23"/>
  <c r="AU61" i="23"/>
  <c r="AU45" i="23"/>
  <c r="AU56" i="23"/>
  <c r="AU7" i="23"/>
  <c r="AU32" i="23"/>
  <c r="AU73" i="23"/>
  <c r="AU25" i="23"/>
  <c r="AU74" i="23"/>
  <c r="AU42" i="23"/>
  <c r="AU50" i="23"/>
  <c r="AU64" i="23"/>
  <c r="AU49" i="23"/>
  <c r="AU14" i="23"/>
  <c r="AU17" i="23"/>
  <c r="AT98" i="23"/>
  <c r="AU24" i="23"/>
  <c r="AU35" i="23"/>
  <c r="AU41" i="23"/>
  <c r="AU40" i="23"/>
  <c r="AU75" i="23"/>
  <c r="AU39" i="23"/>
  <c r="AU67" i="23"/>
  <c r="AU70" i="23"/>
  <c r="AU47" i="23"/>
  <c r="AU21" i="23"/>
  <c r="AU22" i="23"/>
  <c r="AU20" i="23"/>
  <c r="AU72" i="23"/>
  <c r="AU57" i="23"/>
  <c r="AU37" i="23"/>
  <c r="AU62" i="23"/>
  <c r="AU10" i="23"/>
  <c r="AU15" i="23"/>
  <c r="AU16" i="23"/>
  <c r="AU12" i="23"/>
  <c r="AU11" i="23"/>
  <c r="AU48" i="23"/>
  <c r="AU71" i="23"/>
  <c r="AU46" i="23"/>
  <c r="AU23" i="23"/>
  <c r="AU60" i="23"/>
  <c r="AU66" i="23"/>
  <c r="AU65" i="23"/>
  <c r="AU36" i="23"/>
  <c r="AK74" i="18"/>
  <c r="AK72" i="18"/>
  <c r="AK71" i="18"/>
  <c r="AK70" i="18"/>
  <c r="AK69" i="18"/>
  <c r="AK67" i="18"/>
  <c r="AJ78" i="18"/>
  <c r="AI78" i="18"/>
  <c r="AH78" i="18"/>
  <c r="P89" i="23"/>
  <c r="P88" i="23"/>
  <c r="P94" i="23"/>
  <c r="P91" i="23"/>
  <c r="AT97" i="23"/>
  <c r="AT80" i="23"/>
  <c r="AT89" i="23"/>
  <c r="AT81" i="23"/>
  <c r="AT88" i="23"/>
  <c r="H23" i="11"/>
  <c r="H24" i="11"/>
  <c r="AK68" i="18"/>
  <c r="AK52" i="18"/>
  <c r="AG10" i="18" s="1"/>
  <c r="AK73" i="18"/>
  <c r="AK66" i="18"/>
  <c r="AK76" i="18"/>
  <c r="AI77" i="18"/>
  <c r="AJ77" i="18"/>
  <c r="AG77" i="18"/>
  <c r="AH77" i="18"/>
  <c r="AG78" i="18"/>
  <c r="AK65" i="18"/>
  <c r="M31" i="32"/>
  <c r="AT94" i="23"/>
  <c r="AT96" i="23"/>
  <c r="AT99" i="23"/>
  <c r="AT95" i="23"/>
  <c r="AT91" i="23"/>
  <c r="AT84" i="23"/>
  <c r="AT85" i="23"/>
  <c r="AT86" i="23"/>
  <c r="P99" i="23"/>
  <c r="P81" i="23"/>
  <c r="P98" i="23"/>
  <c r="P80" i="23"/>
  <c r="P86" i="23"/>
  <c r="P96" i="23"/>
  <c r="P85" i="23"/>
  <c r="P84" i="23"/>
  <c r="P97" i="23"/>
  <c r="U5" i="42"/>
  <c r="T5" i="42"/>
  <c r="AG15" i="18" l="1"/>
  <c r="AG5" i="18"/>
  <c r="AG18" i="18"/>
  <c r="AK78" i="18"/>
  <c r="L9" i="41"/>
  <c r="M7" i="39"/>
  <c r="P104" i="40" l="1"/>
  <c r="P103" i="40"/>
  <c r="P101" i="40"/>
  <c r="P99" i="40"/>
  <c r="P98" i="40"/>
  <c r="P97" i="40"/>
  <c r="P96" i="40"/>
  <c r="P95" i="40"/>
  <c r="P94" i="40"/>
  <c r="P93" i="40"/>
  <c r="P91" i="40"/>
  <c r="P84" i="40"/>
  <c r="P83" i="40"/>
  <c r="P82" i="40"/>
  <c r="P81" i="40"/>
  <c r="P80" i="40"/>
  <c r="P67" i="40"/>
  <c r="P66" i="40"/>
  <c r="P61" i="40"/>
  <c r="P60" i="40"/>
  <c r="P59" i="40"/>
  <c r="P58" i="40"/>
  <c r="P56" i="40"/>
  <c r="P54" i="40"/>
  <c r="P50" i="40"/>
  <c r="P49" i="40"/>
  <c r="P48" i="40"/>
  <c r="P47" i="40"/>
  <c r="P46" i="40"/>
  <c r="P44" i="40"/>
  <c r="P41" i="40"/>
  <c r="P40" i="40"/>
  <c r="P39" i="40"/>
  <c r="P29" i="40"/>
  <c r="P28" i="40"/>
  <c r="P22" i="40"/>
  <c r="P21" i="40"/>
  <c r="P19" i="40"/>
  <c r="P16" i="40"/>
  <c r="P15" i="40"/>
  <c r="P14" i="40"/>
  <c r="P13" i="40"/>
  <c r="P12" i="40"/>
  <c r="P11" i="40"/>
  <c r="P10" i="40"/>
  <c r="P9" i="40"/>
  <c r="P8" i="40"/>
  <c r="P7" i="40"/>
  <c r="P6" i="40"/>
  <c r="P104" i="42"/>
  <c r="P103" i="42"/>
  <c r="P101" i="42"/>
  <c r="P99" i="42"/>
  <c r="P98" i="42"/>
  <c r="P97" i="42"/>
  <c r="P96" i="42"/>
  <c r="P95" i="42"/>
  <c r="P94" i="42"/>
  <c r="P93" i="42"/>
  <c r="P91" i="42"/>
  <c r="P84" i="42"/>
  <c r="P83" i="42"/>
  <c r="P82" i="42"/>
  <c r="P81" i="42"/>
  <c r="P80" i="42"/>
  <c r="P67" i="42"/>
  <c r="P66" i="42"/>
  <c r="P61" i="42"/>
  <c r="P60" i="42"/>
  <c r="P59" i="42"/>
  <c r="P58" i="42"/>
  <c r="P56" i="42"/>
  <c r="P54" i="42"/>
  <c r="P50" i="42"/>
  <c r="P49" i="42"/>
  <c r="P48" i="42"/>
  <c r="P47" i="42"/>
  <c r="P46" i="42"/>
  <c r="P44" i="42"/>
  <c r="P41" i="42"/>
  <c r="P40" i="42"/>
  <c r="P39" i="42"/>
  <c r="P29" i="42"/>
  <c r="P28" i="42"/>
  <c r="P22" i="42"/>
  <c r="P21" i="42"/>
  <c r="P19" i="42"/>
  <c r="P16" i="42"/>
  <c r="P15" i="42"/>
  <c r="P14" i="42"/>
  <c r="P13" i="42"/>
  <c r="P12" i="42"/>
  <c r="P11" i="42"/>
  <c r="P10" i="42"/>
  <c r="P9" i="42"/>
  <c r="P8" i="42"/>
  <c r="P7" i="42"/>
  <c r="P6" i="42"/>
  <c r="P104" i="41"/>
  <c r="P103" i="41"/>
  <c r="P101" i="41"/>
  <c r="P99" i="41"/>
  <c r="P98" i="41"/>
  <c r="P97" i="41"/>
  <c r="P96" i="41"/>
  <c r="P95" i="41"/>
  <c r="P94" i="41"/>
  <c r="P93" i="41"/>
  <c r="P91" i="41"/>
  <c r="P84" i="41"/>
  <c r="P83" i="41"/>
  <c r="P82" i="41"/>
  <c r="P81" i="41"/>
  <c r="P80" i="41"/>
  <c r="P67" i="41"/>
  <c r="P66" i="41"/>
  <c r="P61" i="41"/>
  <c r="P60" i="41"/>
  <c r="P59" i="41"/>
  <c r="P58" i="41"/>
  <c r="P56" i="41"/>
  <c r="P54" i="41"/>
  <c r="P50" i="41"/>
  <c r="P49" i="41"/>
  <c r="P48" i="41"/>
  <c r="P47" i="41"/>
  <c r="P46" i="41"/>
  <c r="P44" i="41"/>
  <c r="P41" i="41"/>
  <c r="P40" i="41"/>
  <c r="P39" i="41"/>
  <c r="P29" i="41"/>
  <c r="P28" i="41"/>
  <c r="P22" i="41"/>
  <c r="P21" i="41"/>
  <c r="P20" i="41"/>
  <c r="P19" i="41"/>
  <c r="P16" i="41"/>
  <c r="P15" i="41"/>
  <c r="P14" i="41"/>
  <c r="P13" i="41"/>
  <c r="P12" i="41"/>
  <c r="P11" i="41"/>
  <c r="P10" i="41"/>
  <c r="P9" i="41"/>
  <c r="P8" i="41"/>
  <c r="P7" i="41"/>
  <c r="P6" i="41"/>
  <c r="P48" i="39"/>
  <c r="P49" i="39"/>
  <c r="P44" i="39"/>
  <c r="P93" i="39"/>
  <c r="P94" i="39"/>
  <c r="P95" i="39"/>
  <c r="P96" i="39"/>
  <c r="P97" i="39"/>
  <c r="P98" i="39"/>
  <c r="P91" i="39"/>
  <c r="P80" i="39"/>
  <c r="P81" i="39"/>
  <c r="P82" i="39"/>
  <c r="P83" i="39"/>
  <c r="P84" i="39"/>
  <c r="P74" i="39"/>
  <c r="P66" i="39"/>
  <c r="P67" i="39"/>
  <c r="P58" i="39"/>
  <c r="P59" i="39"/>
  <c r="P60" i="39"/>
  <c r="P61" i="39"/>
  <c r="P56" i="39"/>
  <c r="P40" i="39"/>
  <c r="P28" i="39"/>
  <c r="P21" i="39"/>
  <c r="P22" i="39"/>
  <c r="P6" i="39"/>
  <c r="P7" i="39"/>
  <c r="P8" i="39"/>
  <c r="P10" i="39"/>
  <c r="P5" i="40"/>
  <c r="P5" i="42"/>
  <c r="P104" i="39"/>
  <c r="P103" i="39"/>
  <c r="P101" i="39"/>
  <c r="P99" i="39"/>
  <c r="P54" i="39"/>
  <c r="P29" i="39"/>
  <c r="P39" i="39"/>
  <c r="P5" i="39"/>
  <c r="P11" i="39"/>
  <c r="P12" i="39"/>
  <c r="P13" i="39"/>
  <c r="P14" i="39"/>
  <c r="P15" i="39"/>
  <c r="P19" i="39"/>
  <c r="P5" i="41" l="1"/>
  <c r="P9" i="39" l="1"/>
  <c r="AA39" i="18"/>
  <c r="F49" i="38"/>
  <c r="E49" i="38"/>
  <c r="P20" i="42"/>
  <c r="P20" i="40"/>
  <c r="O20" i="39"/>
  <c r="P20" i="39" s="1"/>
  <c r="O30" i="42"/>
  <c r="P30" i="42" s="1"/>
  <c r="O30" i="40"/>
  <c r="P30" i="40" s="1"/>
  <c r="O30" i="41"/>
  <c r="P30" i="41" s="1"/>
  <c r="M47" i="39"/>
  <c r="O47" i="39"/>
  <c r="P47" i="39" s="1"/>
  <c r="O46" i="39"/>
  <c r="P46" i="39" s="1"/>
  <c r="I45" i="21"/>
  <c r="I51" i="21"/>
  <c r="I50" i="21"/>
  <c r="I41" i="21"/>
  <c r="I42" i="21"/>
  <c r="I40" i="21"/>
  <c r="I17" i="32" l="1"/>
  <c r="K17" i="32"/>
  <c r="P102" i="39" l="1"/>
  <c r="P37" i="42"/>
  <c r="H23" i="7" l="1"/>
  <c r="D63" i="38" l="1"/>
  <c r="E63" i="38"/>
  <c r="F63" i="38"/>
  <c r="D62" i="38"/>
  <c r="E62" i="38"/>
  <c r="F62" i="38"/>
  <c r="D61" i="38"/>
  <c r="D60" i="38"/>
  <c r="E60" i="38"/>
  <c r="F60" i="38"/>
  <c r="D59" i="38"/>
  <c r="E59" i="38"/>
  <c r="F59" i="38"/>
  <c r="C61" i="38"/>
  <c r="C62" i="38"/>
  <c r="C63" i="38"/>
  <c r="C60" i="38"/>
  <c r="C59" i="38"/>
  <c r="G20" i="11" l="1"/>
  <c r="AA61" i="18" l="1"/>
  <c r="AA62" i="18"/>
  <c r="AA63" i="18"/>
  <c r="AA60" i="18"/>
  <c r="AA56" i="18"/>
  <c r="AA57" i="18"/>
  <c r="AA55" i="18"/>
  <c r="Z65" i="18"/>
  <c r="M66" i="40"/>
  <c r="AA64" i="18" l="1"/>
  <c r="AA65" i="18"/>
  <c r="M111" i="42"/>
  <c r="L111" i="42"/>
  <c r="K111" i="42"/>
  <c r="M110" i="42"/>
  <c r="L110" i="42"/>
  <c r="K110" i="42"/>
  <c r="J110" i="42"/>
  <c r="I110" i="42"/>
  <c r="H110" i="42"/>
  <c r="E110" i="42"/>
  <c r="M104" i="42"/>
  <c r="L104" i="42"/>
  <c r="K104" i="42"/>
  <c r="J104" i="42"/>
  <c r="I104" i="42"/>
  <c r="H104" i="42"/>
  <c r="M103" i="42"/>
  <c r="L103" i="42"/>
  <c r="K103" i="42"/>
  <c r="J103" i="42"/>
  <c r="I103" i="42"/>
  <c r="H103" i="42"/>
  <c r="M102" i="42"/>
  <c r="L102" i="42"/>
  <c r="K102" i="42"/>
  <c r="J102" i="42"/>
  <c r="I102" i="42"/>
  <c r="H102" i="42"/>
  <c r="M101" i="42"/>
  <c r="L101" i="42"/>
  <c r="K101" i="42"/>
  <c r="J101" i="42"/>
  <c r="I101" i="42"/>
  <c r="H101" i="42"/>
  <c r="L99" i="42"/>
  <c r="K99" i="42"/>
  <c r="J99" i="42"/>
  <c r="I99" i="42"/>
  <c r="H99" i="42"/>
  <c r="L98" i="42"/>
  <c r="K98" i="42"/>
  <c r="J98" i="42"/>
  <c r="I98" i="42"/>
  <c r="H98" i="42"/>
  <c r="L97" i="42"/>
  <c r="K97" i="42"/>
  <c r="J97" i="42"/>
  <c r="I97" i="42"/>
  <c r="H97" i="42"/>
  <c r="L96" i="42"/>
  <c r="K96" i="42"/>
  <c r="J96" i="42"/>
  <c r="I96" i="42"/>
  <c r="H96" i="42"/>
  <c r="M95" i="42"/>
  <c r="L95" i="42"/>
  <c r="K95" i="42"/>
  <c r="J95" i="42"/>
  <c r="I95" i="42"/>
  <c r="H95" i="42"/>
  <c r="M94" i="42"/>
  <c r="L94" i="42"/>
  <c r="K94" i="42"/>
  <c r="J94" i="42"/>
  <c r="I94" i="42"/>
  <c r="H94" i="42"/>
  <c r="M93" i="42"/>
  <c r="L93" i="42"/>
  <c r="K93" i="42"/>
  <c r="J93" i="42"/>
  <c r="I93" i="42"/>
  <c r="H93" i="42"/>
  <c r="M91" i="42"/>
  <c r="L91" i="42"/>
  <c r="K91" i="42"/>
  <c r="J91" i="42"/>
  <c r="I91" i="42"/>
  <c r="H91" i="42"/>
  <c r="M84" i="42"/>
  <c r="L84" i="42"/>
  <c r="K84" i="42"/>
  <c r="J84" i="42"/>
  <c r="I84" i="42"/>
  <c r="H84" i="42"/>
  <c r="M83" i="42"/>
  <c r="L83" i="42"/>
  <c r="K83" i="42"/>
  <c r="J83" i="42"/>
  <c r="I83" i="42"/>
  <c r="H83" i="42"/>
  <c r="M82" i="42"/>
  <c r="L82" i="42"/>
  <c r="K82" i="42"/>
  <c r="J82" i="42"/>
  <c r="I82" i="42"/>
  <c r="H82" i="42"/>
  <c r="M81" i="42"/>
  <c r="L81" i="42"/>
  <c r="K81" i="42"/>
  <c r="J81" i="42"/>
  <c r="I81" i="42"/>
  <c r="H81" i="42"/>
  <c r="M80" i="42"/>
  <c r="L80" i="42"/>
  <c r="K80" i="42"/>
  <c r="J80" i="42"/>
  <c r="I80" i="42"/>
  <c r="H80" i="42"/>
  <c r="M74" i="42"/>
  <c r="L74" i="42"/>
  <c r="K74" i="42"/>
  <c r="J74" i="42"/>
  <c r="I74" i="42"/>
  <c r="H74" i="42"/>
  <c r="M72" i="42"/>
  <c r="L72" i="42"/>
  <c r="K72" i="42"/>
  <c r="J72" i="42"/>
  <c r="I72" i="42"/>
  <c r="H72" i="42"/>
  <c r="M68" i="42"/>
  <c r="L68" i="42"/>
  <c r="K68" i="42"/>
  <c r="J68" i="42"/>
  <c r="I68" i="42"/>
  <c r="H68" i="42"/>
  <c r="M67" i="42"/>
  <c r="L67" i="42"/>
  <c r="K67" i="42"/>
  <c r="J67" i="42"/>
  <c r="I67" i="42"/>
  <c r="H67" i="42"/>
  <c r="M66" i="42"/>
  <c r="L66" i="42"/>
  <c r="K66" i="42"/>
  <c r="J66" i="42"/>
  <c r="I66" i="42"/>
  <c r="H66" i="42"/>
  <c r="L61" i="42"/>
  <c r="K61" i="42"/>
  <c r="J61" i="42"/>
  <c r="I61" i="42"/>
  <c r="H61" i="42"/>
  <c r="K60" i="42"/>
  <c r="J60" i="42"/>
  <c r="I60" i="42"/>
  <c r="H60" i="42"/>
  <c r="L59" i="42"/>
  <c r="K59" i="42"/>
  <c r="J59" i="42"/>
  <c r="I59" i="42"/>
  <c r="H59" i="42"/>
  <c r="L58" i="42"/>
  <c r="K58" i="42"/>
  <c r="J58" i="42"/>
  <c r="I58" i="42"/>
  <c r="H58" i="42"/>
  <c r="M56" i="42"/>
  <c r="M54" i="42"/>
  <c r="L54" i="42"/>
  <c r="K54" i="42"/>
  <c r="J54" i="42"/>
  <c r="I54" i="42"/>
  <c r="H54" i="42"/>
  <c r="M50" i="42"/>
  <c r="L50" i="42"/>
  <c r="K50" i="42"/>
  <c r="M49" i="42"/>
  <c r="L49" i="42"/>
  <c r="K49" i="42"/>
  <c r="M48" i="42"/>
  <c r="L48" i="42"/>
  <c r="K48" i="42"/>
  <c r="M47" i="42"/>
  <c r="L47" i="42"/>
  <c r="K47" i="42"/>
  <c r="M46" i="42"/>
  <c r="L46" i="42"/>
  <c r="K46" i="42"/>
  <c r="M44" i="42"/>
  <c r="L44" i="42"/>
  <c r="M42" i="42"/>
  <c r="L42" i="42"/>
  <c r="K42" i="42"/>
  <c r="J42" i="42"/>
  <c r="I42" i="42"/>
  <c r="H42" i="42"/>
  <c r="J41" i="42"/>
  <c r="I41" i="42"/>
  <c r="H41" i="42"/>
  <c r="M40" i="42"/>
  <c r="L40" i="42"/>
  <c r="K40" i="42"/>
  <c r="J40" i="42"/>
  <c r="I40" i="42"/>
  <c r="H40" i="42"/>
  <c r="M39" i="42"/>
  <c r="L39" i="42"/>
  <c r="K39" i="42"/>
  <c r="J39" i="42"/>
  <c r="I39" i="42"/>
  <c r="H39" i="42"/>
  <c r="M37" i="42"/>
  <c r="L37" i="42"/>
  <c r="K37" i="42"/>
  <c r="M30" i="42"/>
  <c r="L30" i="42"/>
  <c r="K30" i="42"/>
  <c r="M29" i="42"/>
  <c r="L29" i="42"/>
  <c r="K29" i="42"/>
  <c r="K28" i="42"/>
  <c r="M22" i="42"/>
  <c r="L22" i="42"/>
  <c r="K22" i="42"/>
  <c r="J22" i="42"/>
  <c r="I22" i="42"/>
  <c r="H22" i="42"/>
  <c r="M21" i="42"/>
  <c r="L19" i="42"/>
  <c r="L20" i="42" s="1"/>
  <c r="K19" i="42"/>
  <c r="K20" i="42" s="1"/>
  <c r="J19" i="42"/>
  <c r="I19" i="42"/>
  <c r="H19" i="42"/>
  <c r="M16" i="42"/>
  <c r="L16" i="42"/>
  <c r="K16" i="42"/>
  <c r="J16" i="42"/>
  <c r="I16" i="42"/>
  <c r="H16" i="42"/>
  <c r="M15" i="42"/>
  <c r="L15" i="42"/>
  <c r="K15" i="42"/>
  <c r="J15" i="42"/>
  <c r="I15" i="42"/>
  <c r="H15" i="42"/>
  <c r="M14" i="42"/>
  <c r="L14" i="42"/>
  <c r="K14" i="42"/>
  <c r="J14" i="42"/>
  <c r="I14" i="42"/>
  <c r="H14" i="42"/>
  <c r="M11" i="42"/>
  <c r="L11" i="42"/>
  <c r="K11" i="42"/>
  <c r="L10" i="42"/>
  <c r="K10" i="42"/>
  <c r="L9" i="42"/>
  <c r="K9" i="42"/>
  <c r="L8" i="42"/>
  <c r="K8" i="42"/>
  <c r="L7" i="42"/>
  <c r="K7" i="42"/>
  <c r="M6" i="42"/>
  <c r="L6" i="42"/>
  <c r="K6" i="42"/>
  <c r="L5" i="42"/>
  <c r="K5" i="42"/>
  <c r="L104" i="41"/>
  <c r="K104" i="41"/>
  <c r="J104" i="41"/>
  <c r="I104" i="41"/>
  <c r="H104" i="41"/>
  <c r="M103" i="41"/>
  <c r="L103" i="41"/>
  <c r="K103" i="41"/>
  <c r="J103" i="41"/>
  <c r="I103" i="41"/>
  <c r="H103" i="41"/>
  <c r="M102" i="41"/>
  <c r="L102" i="41"/>
  <c r="K102" i="41"/>
  <c r="J102" i="41"/>
  <c r="I102" i="41"/>
  <c r="H102" i="41"/>
  <c r="M101" i="41"/>
  <c r="L101" i="41"/>
  <c r="K101" i="41"/>
  <c r="J101" i="41"/>
  <c r="I101" i="41"/>
  <c r="H101" i="41"/>
  <c r="M99" i="41"/>
  <c r="L99" i="41"/>
  <c r="K99" i="41"/>
  <c r="J99" i="41"/>
  <c r="I99" i="41"/>
  <c r="H99" i="41"/>
  <c r="L98" i="41"/>
  <c r="K98" i="41"/>
  <c r="J98" i="41"/>
  <c r="I98" i="41"/>
  <c r="H98" i="41"/>
  <c r="L97" i="41"/>
  <c r="K97" i="41"/>
  <c r="J97" i="41"/>
  <c r="I97" i="41"/>
  <c r="H97" i="41"/>
  <c r="M96" i="41"/>
  <c r="L96" i="41"/>
  <c r="K96" i="41"/>
  <c r="J96" i="41"/>
  <c r="I96" i="41"/>
  <c r="H96" i="41"/>
  <c r="M95" i="41"/>
  <c r="L95" i="41"/>
  <c r="K95" i="41"/>
  <c r="J95" i="41"/>
  <c r="I95" i="41"/>
  <c r="H95" i="41"/>
  <c r="M94" i="41"/>
  <c r="L94" i="41"/>
  <c r="K94" i="41"/>
  <c r="J94" i="41"/>
  <c r="I94" i="41"/>
  <c r="H94" i="41"/>
  <c r="M93" i="41"/>
  <c r="L93" i="41"/>
  <c r="K93" i="41"/>
  <c r="J93" i="41"/>
  <c r="I93" i="41"/>
  <c r="H93" i="41"/>
  <c r="M91" i="41"/>
  <c r="L91" i="41"/>
  <c r="K91" i="41"/>
  <c r="J91" i="41"/>
  <c r="I91" i="41"/>
  <c r="H91" i="41"/>
  <c r="M84" i="41"/>
  <c r="L84" i="41"/>
  <c r="K84" i="41"/>
  <c r="J84" i="41"/>
  <c r="I84" i="41"/>
  <c r="H84" i="41"/>
  <c r="M83" i="41"/>
  <c r="L83" i="41"/>
  <c r="K83" i="41"/>
  <c r="J83" i="41"/>
  <c r="I83" i="41"/>
  <c r="H83" i="41"/>
  <c r="M82" i="41"/>
  <c r="L82" i="41"/>
  <c r="K82" i="41"/>
  <c r="J82" i="41"/>
  <c r="I82" i="41"/>
  <c r="H82" i="41"/>
  <c r="M81" i="41"/>
  <c r="L81" i="41"/>
  <c r="K81" i="41"/>
  <c r="J81" i="41"/>
  <c r="I81" i="41"/>
  <c r="H81" i="41"/>
  <c r="M80" i="41"/>
  <c r="M74" i="41"/>
  <c r="L74" i="41"/>
  <c r="K74" i="41"/>
  <c r="J74" i="41"/>
  <c r="I74" i="41"/>
  <c r="H74" i="41"/>
  <c r="M72" i="41"/>
  <c r="L72" i="41"/>
  <c r="K72" i="41"/>
  <c r="J72" i="41"/>
  <c r="I72" i="41"/>
  <c r="H72" i="41"/>
  <c r="M68" i="41"/>
  <c r="L68" i="41"/>
  <c r="K68" i="41"/>
  <c r="J68" i="41"/>
  <c r="I68" i="41"/>
  <c r="H68" i="41"/>
  <c r="M66" i="41"/>
  <c r="L66" i="41"/>
  <c r="K66" i="41"/>
  <c r="J66" i="41"/>
  <c r="I66" i="41"/>
  <c r="H66" i="41"/>
  <c r="M61" i="41"/>
  <c r="L61" i="41"/>
  <c r="K61" i="41"/>
  <c r="J61" i="41"/>
  <c r="I61" i="41"/>
  <c r="H61" i="41"/>
  <c r="L60" i="41"/>
  <c r="K60" i="41"/>
  <c r="J60" i="41"/>
  <c r="I60" i="41"/>
  <c r="H60" i="41"/>
  <c r="L59" i="41"/>
  <c r="K59" i="41"/>
  <c r="J59" i="41"/>
  <c r="I59" i="41"/>
  <c r="H59" i="41"/>
  <c r="L58" i="41"/>
  <c r="K58" i="41"/>
  <c r="J58" i="41"/>
  <c r="I58" i="41"/>
  <c r="H58" i="41"/>
  <c r="M56" i="41"/>
  <c r="L56" i="41"/>
  <c r="K56" i="41"/>
  <c r="J56" i="41"/>
  <c r="I56" i="41"/>
  <c r="H56" i="41"/>
  <c r="M54" i="41"/>
  <c r="L54" i="41"/>
  <c r="K54" i="41"/>
  <c r="J54" i="41"/>
  <c r="I54" i="41"/>
  <c r="H54" i="41"/>
  <c r="M50" i="41"/>
  <c r="L50" i="41"/>
  <c r="K50" i="41"/>
  <c r="M49" i="41"/>
  <c r="L49" i="41"/>
  <c r="K49" i="41"/>
  <c r="M48" i="41"/>
  <c r="L48" i="41"/>
  <c r="K48" i="41"/>
  <c r="M47" i="41"/>
  <c r="L47" i="41"/>
  <c r="K47" i="41"/>
  <c r="M46" i="41"/>
  <c r="L46" i="41"/>
  <c r="K46" i="41"/>
  <c r="L44" i="41"/>
  <c r="M40" i="41"/>
  <c r="L40" i="41"/>
  <c r="K40" i="41"/>
  <c r="J40" i="41"/>
  <c r="I40" i="41"/>
  <c r="H40" i="41"/>
  <c r="M39" i="41"/>
  <c r="L39" i="41"/>
  <c r="K39" i="41"/>
  <c r="J39" i="41"/>
  <c r="I39" i="41"/>
  <c r="H39" i="41"/>
  <c r="M37" i="41"/>
  <c r="L37" i="41"/>
  <c r="K37" i="41"/>
  <c r="M30" i="41"/>
  <c r="L30" i="41"/>
  <c r="K30" i="41"/>
  <c r="M29" i="41"/>
  <c r="L29" i="41"/>
  <c r="K29" i="41"/>
  <c r="K28" i="41"/>
  <c r="M22" i="41"/>
  <c r="L22" i="41"/>
  <c r="K22" i="41"/>
  <c r="J22" i="41"/>
  <c r="I22" i="41"/>
  <c r="H22" i="41"/>
  <c r="M21" i="41"/>
  <c r="M19" i="41"/>
  <c r="L19" i="41"/>
  <c r="L20" i="41" s="1"/>
  <c r="K19" i="41"/>
  <c r="K20" i="41" s="1"/>
  <c r="J19" i="41"/>
  <c r="I19" i="41"/>
  <c r="H19" i="41"/>
  <c r="M16" i="41"/>
  <c r="L16" i="41"/>
  <c r="K16" i="41"/>
  <c r="J16" i="41"/>
  <c r="I16" i="41"/>
  <c r="H16" i="41"/>
  <c r="M15" i="41"/>
  <c r="L15" i="41"/>
  <c r="K15" i="41"/>
  <c r="J15" i="41"/>
  <c r="I15" i="41"/>
  <c r="H15" i="41"/>
  <c r="M14" i="41"/>
  <c r="L14" i="41"/>
  <c r="K14" i="41"/>
  <c r="J14" i="41"/>
  <c r="I14" i="41"/>
  <c r="H14" i="41"/>
  <c r="M11" i="41"/>
  <c r="L11" i="41"/>
  <c r="K11" i="41"/>
  <c r="M10" i="41"/>
  <c r="L10" i="41"/>
  <c r="K10" i="41"/>
  <c r="K9" i="41"/>
  <c r="L8" i="41"/>
  <c r="K8" i="41"/>
  <c r="L7" i="41"/>
  <c r="K7" i="41"/>
  <c r="M6" i="41"/>
  <c r="L6" i="41"/>
  <c r="K6" i="41"/>
  <c r="L5" i="41"/>
  <c r="K5" i="41"/>
  <c r="M104" i="40"/>
  <c r="L104" i="40"/>
  <c r="K104" i="40"/>
  <c r="J104" i="40"/>
  <c r="I104" i="40"/>
  <c r="H104" i="40"/>
  <c r="M103" i="40"/>
  <c r="L103" i="40"/>
  <c r="K103" i="40"/>
  <c r="J103" i="40"/>
  <c r="I103" i="40"/>
  <c r="H103" i="40"/>
  <c r="M102" i="40"/>
  <c r="L102" i="40"/>
  <c r="K102" i="40"/>
  <c r="J102" i="40"/>
  <c r="I102" i="40"/>
  <c r="H102" i="40"/>
  <c r="M101" i="40"/>
  <c r="L101" i="40"/>
  <c r="K101" i="40"/>
  <c r="J101" i="40"/>
  <c r="I101" i="40"/>
  <c r="H101" i="40"/>
  <c r="L99" i="40"/>
  <c r="K99" i="40"/>
  <c r="J99" i="40"/>
  <c r="I99" i="40"/>
  <c r="H99" i="40"/>
  <c r="L98" i="40"/>
  <c r="K98" i="40"/>
  <c r="J98" i="40"/>
  <c r="I98" i="40"/>
  <c r="H98" i="40"/>
  <c r="L97" i="40"/>
  <c r="K97" i="40"/>
  <c r="J97" i="40"/>
  <c r="I97" i="40"/>
  <c r="H97" i="40"/>
  <c r="L96" i="40"/>
  <c r="K96" i="40"/>
  <c r="J96" i="40"/>
  <c r="I96" i="40"/>
  <c r="H96" i="40"/>
  <c r="M95" i="40"/>
  <c r="L95" i="40"/>
  <c r="K95" i="40"/>
  <c r="J95" i="40"/>
  <c r="I95" i="40"/>
  <c r="H95" i="40"/>
  <c r="M94" i="40"/>
  <c r="L94" i="40"/>
  <c r="K94" i="40"/>
  <c r="J94" i="40"/>
  <c r="I94" i="40"/>
  <c r="H94" i="40"/>
  <c r="M93" i="40"/>
  <c r="L93" i="40"/>
  <c r="K93" i="40"/>
  <c r="J93" i="40"/>
  <c r="I93" i="40"/>
  <c r="H93" i="40"/>
  <c r="M91" i="40"/>
  <c r="L91" i="40"/>
  <c r="K91" i="40"/>
  <c r="J91" i="40"/>
  <c r="I91" i="40"/>
  <c r="H91" i="40"/>
  <c r="M84" i="40"/>
  <c r="L84" i="40"/>
  <c r="K84" i="40"/>
  <c r="J84" i="40"/>
  <c r="I84" i="40"/>
  <c r="H84" i="40"/>
  <c r="M83" i="40"/>
  <c r="L83" i="40"/>
  <c r="K83" i="40"/>
  <c r="J83" i="40"/>
  <c r="I83" i="40"/>
  <c r="H83" i="40"/>
  <c r="M82" i="40"/>
  <c r="L82" i="40"/>
  <c r="K82" i="40"/>
  <c r="J82" i="40"/>
  <c r="I82" i="40"/>
  <c r="H82" i="40"/>
  <c r="M81" i="40"/>
  <c r="L81" i="40"/>
  <c r="K81" i="40"/>
  <c r="J81" i="40"/>
  <c r="I81" i="40"/>
  <c r="H81" i="40"/>
  <c r="M80" i="40"/>
  <c r="M74" i="40"/>
  <c r="L74" i="40"/>
  <c r="K74" i="40"/>
  <c r="J74" i="40"/>
  <c r="I74" i="40"/>
  <c r="H74" i="40"/>
  <c r="M72" i="40"/>
  <c r="L72" i="40"/>
  <c r="K72" i="40"/>
  <c r="J72" i="40"/>
  <c r="I72" i="40"/>
  <c r="H72" i="40"/>
  <c r="M68" i="40"/>
  <c r="L68" i="40"/>
  <c r="K68" i="40"/>
  <c r="J68" i="40"/>
  <c r="I68" i="40"/>
  <c r="H68" i="40"/>
  <c r="L66" i="40"/>
  <c r="K66" i="40"/>
  <c r="J66" i="40"/>
  <c r="I66" i="40"/>
  <c r="H66" i="40"/>
  <c r="M61" i="40"/>
  <c r="L61" i="40"/>
  <c r="K61" i="40"/>
  <c r="J61" i="40"/>
  <c r="I61" i="40"/>
  <c r="H61" i="40"/>
  <c r="J60" i="40"/>
  <c r="I60" i="40"/>
  <c r="H60" i="40"/>
  <c r="M59" i="40"/>
  <c r="L58" i="40"/>
  <c r="K58" i="40"/>
  <c r="J58" i="40"/>
  <c r="I58" i="40"/>
  <c r="H58" i="40"/>
  <c r="M56" i="40"/>
  <c r="M54" i="40"/>
  <c r="L54" i="40"/>
  <c r="K54" i="40"/>
  <c r="J54" i="40"/>
  <c r="I54" i="40"/>
  <c r="H54" i="40"/>
  <c r="M50" i="40"/>
  <c r="L50" i="40"/>
  <c r="K50" i="40"/>
  <c r="M49" i="40"/>
  <c r="L49" i="40"/>
  <c r="K49" i="40"/>
  <c r="M48" i="40"/>
  <c r="L48" i="40"/>
  <c r="K48" i="40"/>
  <c r="M47" i="40"/>
  <c r="L47" i="40"/>
  <c r="K47" i="40"/>
  <c r="M46" i="40"/>
  <c r="L46" i="40"/>
  <c r="K46" i="40"/>
  <c r="M44" i="40"/>
  <c r="L44" i="40"/>
  <c r="M40" i="40"/>
  <c r="L40" i="40"/>
  <c r="K40" i="40"/>
  <c r="J40" i="40"/>
  <c r="I40" i="40"/>
  <c r="H40" i="40"/>
  <c r="L39" i="40"/>
  <c r="K39" i="40"/>
  <c r="J39" i="40"/>
  <c r="I39" i="40"/>
  <c r="H39" i="40"/>
  <c r="M37" i="40"/>
  <c r="L37" i="40"/>
  <c r="K37" i="40"/>
  <c r="M30" i="40"/>
  <c r="L30" i="40"/>
  <c r="K30" i="40"/>
  <c r="M29" i="40"/>
  <c r="L29" i="40"/>
  <c r="K29" i="40"/>
  <c r="K28" i="40"/>
  <c r="M22" i="40"/>
  <c r="L22" i="40"/>
  <c r="K22" i="40"/>
  <c r="J22" i="40"/>
  <c r="I22" i="40"/>
  <c r="H22" i="40"/>
  <c r="M21" i="40"/>
  <c r="M19" i="40"/>
  <c r="M20" i="40" s="1"/>
  <c r="L19" i="40"/>
  <c r="K19" i="40"/>
  <c r="K20" i="40" s="1"/>
  <c r="J19" i="40"/>
  <c r="I19" i="40"/>
  <c r="H19" i="40"/>
  <c r="M16" i="40"/>
  <c r="L16" i="40"/>
  <c r="K16" i="40"/>
  <c r="J16" i="40"/>
  <c r="I16" i="40"/>
  <c r="H16" i="40"/>
  <c r="M15" i="40"/>
  <c r="L15" i="40"/>
  <c r="K15" i="40"/>
  <c r="J15" i="40"/>
  <c r="I15" i="40"/>
  <c r="H15" i="40"/>
  <c r="L14" i="40"/>
  <c r="K14" i="40"/>
  <c r="J14" i="40"/>
  <c r="I14" i="40"/>
  <c r="H14" i="40"/>
  <c r="M11" i="40"/>
  <c r="L11" i="40"/>
  <c r="K11" i="40"/>
  <c r="M10" i="40"/>
  <c r="L10" i="40"/>
  <c r="K10" i="40"/>
  <c r="L9" i="40"/>
  <c r="K9" i="40"/>
  <c r="L8" i="40"/>
  <c r="K8" i="40"/>
  <c r="L7" i="40"/>
  <c r="K7" i="40"/>
  <c r="M6" i="40"/>
  <c r="L6" i="40"/>
  <c r="K6" i="40"/>
  <c r="L5" i="40"/>
  <c r="K5" i="40"/>
  <c r="M111" i="39"/>
  <c r="L111" i="39"/>
  <c r="K111" i="39"/>
  <c r="M110" i="39"/>
  <c r="L110" i="39"/>
  <c r="K110" i="39"/>
  <c r="J110" i="39"/>
  <c r="I110" i="39"/>
  <c r="H110" i="39"/>
  <c r="E110" i="39"/>
  <c r="M104" i="39"/>
  <c r="L104" i="39"/>
  <c r="K104" i="39"/>
  <c r="J104" i="39"/>
  <c r="I104" i="39"/>
  <c r="H104" i="39"/>
  <c r="M103" i="39"/>
  <c r="L103" i="39"/>
  <c r="K103" i="39"/>
  <c r="M102" i="39"/>
  <c r="L102" i="39"/>
  <c r="K102" i="39"/>
  <c r="J102" i="39"/>
  <c r="I102" i="39"/>
  <c r="H102" i="39"/>
  <c r="M101" i="39"/>
  <c r="L101" i="39"/>
  <c r="K101" i="39"/>
  <c r="J101" i="39"/>
  <c r="I101" i="39"/>
  <c r="H101" i="39"/>
  <c r="L99" i="39"/>
  <c r="K99" i="39"/>
  <c r="J99" i="39"/>
  <c r="I99" i="39"/>
  <c r="H99" i="39"/>
  <c r="L98" i="39"/>
  <c r="K98" i="39"/>
  <c r="J98" i="39"/>
  <c r="I98" i="39"/>
  <c r="H98" i="39"/>
  <c r="L97" i="39"/>
  <c r="K97" i="39"/>
  <c r="J97" i="39"/>
  <c r="I97" i="39"/>
  <c r="H97" i="39"/>
  <c r="L96" i="39"/>
  <c r="K96" i="39"/>
  <c r="J96" i="39"/>
  <c r="I96" i="39"/>
  <c r="H96" i="39"/>
  <c r="M95" i="39"/>
  <c r="L95" i="39"/>
  <c r="K95" i="39"/>
  <c r="J95" i="39"/>
  <c r="I95" i="39"/>
  <c r="H95" i="39"/>
  <c r="M94" i="39"/>
  <c r="L94" i="39"/>
  <c r="K94" i="39"/>
  <c r="J94" i="39"/>
  <c r="I94" i="39"/>
  <c r="H94" i="39"/>
  <c r="M93" i="39"/>
  <c r="L93" i="39"/>
  <c r="K93" i="39"/>
  <c r="J93" i="39"/>
  <c r="I93" i="39"/>
  <c r="H93" i="39"/>
  <c r="M91" i="39"/>
  <c r="L91" i="39"/>
  <c r="K91" i="39"/>
  <c r="J91" i="39"/>
  <c r="I91" i="39"/>
  <c r="H91" i="39"/>
  <c r="M84" i="39"/>
  <c r="L84" i="39"/>
  <c r="K84" i="39"/>
  <c r="J84" i="39"/>
  <c r="I84" i="39"/>
  <c r="H84" i="39"/>
  <c r="M83" i="39"/>
  <c r="L83" i="39"/>
  <c r="K83" i="39"/>
  <c r="M82" i="39"/>
  <c r="L82" i="39"/>
  <c r="K82" i="39"/>
  <c r="J82" i="39"/>
  <c r="I82" i="39"/>
  <c r="H82" i="39"/>
  <c r="M81" i="39"/>
  <c r="L81" i="39"/>
  <c r="K81" i="39"/>
  <c r="J81" i="39"/>
  <c r="I81" i="39"/>
  <c r="H81" i="39"/>
  <c r="M74" i="39"/>
  <c r="L74" i="39"/>
  <c r="K74" i="39"/>
  <c r="J74" i="39"/>
  <c r="I74" i="39"/>
  <c r="H74" i="39"/>
  <c r="M72" i="39"/>
  <c r="L72" i="39"/>
  <c r="K72" i="39"/>
  <c r="J72" i="39"/>
  <c r="I72" i="39"/>
  <c r="H72" i="39"/>
  <c r="M68" i="39"/>
  <c r="L68" i="39"/>
  <c r="K68" i="39"/>
  <c r="J68" i="39"/>
  <c r="I68" i="39"/>
  <c r="H68" i="39"/>
  <c r="M67" i="39"/>
  <c r="L67" i="39"/>
  <c r="K67" i="39"/>
  <c r="J67" i="39"/>
  <c r="I67" i="39"/>
  <c r="H67" i="39"/>
  <c r="M66" i="39"/>
  <c r="L66" i="39"/>
  <c r="K66" i="39"/>
  <c r="J66" i="39"/>
  <c r="I66" i="39"/>
  <c r="H66" i="39"/>
  <c r="M61" i="39"/>
  <c r="L61" i="39"/>
  <c r="K61" i="39"/>
  <c r="J61" i="39"/>
  <c r="I61" i="39"/>
  <c r="H61" i="39"/>
  <c r="M60" i="39"/>
  <c r="L60" i="39"/>
  <c r="K60" i="39"/>
  <c r="J60" i="39"/>
  <c r="I60" i="39"/>
  <c r="H60" i="39"/>
  <c r="L58" i="39"/>
  <c r="K58" i="39"/>
  <c r="J58" i="39"/>
  <c r="I58" i="39"/>
  <c r="H58" i="39"/>
  <c r="M56" i="39"/>
  <c r="M54" i="39"/>
  <c r="L54" i="39"/>
  <c r="K54" i="39"/>
  <c r="J54" i="39"/>
  <c r="I54" i="39"/>
  <c r="H54" i="39"/>
  <c r="M50" i="39"/>
  <c r="L50" i="39"/>
  <c r="K50" i="39"/>
  <c r="M49" i="39"/>
  <c r="L49" i="39"/>
  <c r="K49" i="39"/>
  <c r="M48" i="39"/>
  <c r="L48" i="39"/>
  <c r="K48" i="39"/>
  <c r="L47" i="39"/>
  <c r="K47" i="39"/>
  <c r="M46" i="39"/>
  <c r="L46" i="39"/>
  <c r="K46" i="39"/>
  <c r="L44" i="39"/>
  <c r="M41" i="39"/>
  <c r="L41" i="39"/>
  <c r="K41" i="39"/>
  <c r="J41" i="39"/>
  <c r="I41" i="39"/>
  <c r="H41" i="39"/>
  <c r="M40" i="39"/>
  <c r="L40" i="39"/>
  <c r="K40" i="39"/>
  <c r="J40" i="39"/>
  <c r="I40" i="39"/>
  <c r="H40" i="39"/>
  <c r="M39" i="39"/>
  <c r="L39" i="39"/>
  <c r="K39" i="39"/>
  <c r="J39" i="39"/>
  <c r="I39" i="39"/>
  <c r="H39" i="39"/>
  <c r="M37" i="39"/>
  <c r="L37" i="39"/>
  <c r="K37" i="39"/>
  <c r="M30" i="39"/>
  <c r="L30" i="39"/>
  <c r="K30" i="39"/>
  <c r="M29" i="39"/>
  <c r="L29" i="39"/>
  <c r="K29" i="39"/>
  <c r="K28" i="39"/>
  <c r="M22" i="39"/>
  <c r="L22" i="39"/>
  <c r="K22" i="39"/>
  <c r="J22" i="39"/>
  <c r="I22" i="39"/>
  <c r="H22" i="39"/>
  <c r="M21" i="39"/>
  <c r="L19" i="39"/>
  <c r="L20" i="39" s="1"/>
  <c r="K19" i="39"/>
  <c r="K20" i="39" s="1"/>
  <c r="J19" i="39"/>
  <c r="I19" i="39"/>
  <c r="H19" i="39"/>
  <c r="M16" i="39"/>
  <c r="L16" i="39"/>
  <c r="K16" i="39"/>
  <c r="J16" i="39"/>
  <c r="I16" i="39"/>
  <c r="H16" i="39"/>
  <c r="M15" i="39"/>
  <c r="L15" i="39"/>
  <c r="K15" i="39"/>
  <c r="J15" i="39"/>
  <c r="I15" i="39"/>
  <c r="H15" i="39"/>
  <c r="M14" i="39"/>
  <c r="L14" i="39"/>
  <c r="K14" i="39"/>
  <c r="J14" i="39"/>
  <c r="I14" i="39"/>
  <c r="H14" i="39"/>
  <c r="M11" i="39"/>
  <c r="L11" i="39"/>
  <c r="K11" i="39"/>
  <c r="L10" i="39"/>
  <c r="K10" i="39"/>
  <c r="L9" i="39"/>
  <c r="K9" i="39"/>
  <c r="L8" i="39"/>
  <c r="K8" i="39"/>
  <c r="L7" i="39"/>
  <c r="K7" i="39"/>
  <c r="L6" i="39"/>
  <c r="K6" i="39"/>
  <c r="L5" i="39"/>
  <c r="K5" i="39"/>
  <c r="Z39" i="18"/>
  <c r="W39" i="18"/>
  <c r="X39" i="18"/>
  <c r="Y39" i="18"/>
  <c r="D23" i="7"/>
  <c r="E23" i="7"/>
  <c r="G23" i="7"/>
  <c r="W17" i="18" l="1"/>
  <c r="AA77" i="18"/>
  <c r="W18" i="18"/>
  <c r="P102" i="42"/>
  <c r="P111" i="42"/>
  <c r="P68" i="40"/>
  <c r="P68" i="41"/>
  <c r="P72" i="41"/>
  <c r="P37" i="40"/>
  <c r="P102" i="41"/>
  <c r="P110" i="42"/>
  <c r="P72" i="40"/>
  <c r="P102" i="40"/>
  <c r="P72" i="42"/>
  <c r="P37" i="41"/>
  <c r="P68" i="42"/>
  <c r="L20" i="40"/>
  <c r="R7" i="39"/>
  <c r="P110" i="39"/>
  <c r="M20" i="39"/>
  <c r="P111" i="39"/>
  <c r="M20" i="41"/>
  <c r="M20" i="42"/>
  <c r="T99" i="23"/>
  <c r="U99" i="23"/>
  <c r="V99" i="23"/>
  <c r="W99" i="23"/>
  <c r="X99" i="23"/>
  <c r="Y99" i="23"/>
  <c r="Z99" i="23"/>
  <c r="AA99" i="23"/>
  <c r="AB99" i="23"/>
  <c r="AC99" i="23"/>
  <c r="AD99" i="23"/>
  <c r="AE99" i="23"/>
  <c r="T98" i="23"/>
  <c r="U98" i="23"/>
  <c r="V98" i="23"/>
  <c r="W98" i="23"/>
  <c r="X98" i="23"/>
  <c r="Y98" i="23"/>
  <c r="Z98" i="23"/>
  <c r="AA98" i="23"/>
  <c r="AB98" i="23"/>
  <c r="AC98" i="23"/>
  <c r="AD98" i="23"/>
  <c r="AE98" i="23"/>
  <c r="T97" i="23"/>
  <c r="U97" i="23"/>
  <c r="V97" i="23"/>
  <c r="W97" i="23"/>
  <c r="X97" i="23"/>
  <c r="Y97" i="23"/>
  <c r="Z97" i="23"/>
  <c r="AA97" i="23"/>
  <c r="AB97" i="23"/>
  <c r="AC97" i="23"/>
  <c r="AD97" i="23"/>
  <c r="AE97" i="23"/>
  <c r="T96" i="23"/>
  <c r="U96" i="23"/>
  <c r="V96" i="23"/>
  <c r="W96" i="23"/>
  <c r="X96" i="23"/>
  <c r="Y96" i="23"/>
  <c r="Z96" i="23"/>
  <c r="AA96" i="23"/>
  <c r="AB96" i="23"/>
  <c r="AC96" i="23"/>
  <c r="AD96" i="23"/>
  <c r="AE96" i="23"/>
  <c r="T95" i="23"/>
  <c r="U95" i="23"/>
  <c r="V95" i="23"/>
  <c r="W95" i="23"/>
  <c r="X95" i="23"/>
  <c r="Y95" i="23"/>
  <c r="Z95" i="23"/>
  <c r="AA95" i="23"/>
  <c r="AB95" i="23"/>
  <c r="AC95" i="23"/>
  <c r="AD95" i="23"/>
  <c r="AE95" i="23"/>
  <c r="T94" i="23"/>
  <c r="U94" i="23"/>
  <c r="V94" i="23"/>
  <c r="W94" i="23"/>
  <c r="X94" i="23"/>
  <c r="Y94" i="23"/>
  <c r="Z94" i="23"/>
  <c r="AA94" i="23"/>
  <c r="AB94" i="23"/>
  <c r="AC94" i="23"/>
  <c r="AD94" i="23"/>
  <c r="AE94" i="23"/>
  <c r="T91" i="23"/>
  <c r="U91" i="23"/>
  <c r="V91" i="23"/>
  <c r="W91" i="23"/>
  <c r="X91" i="23"/>
  <c r="Y91" i="23"/>
  <c r="Z91" i="23"/>
  <c r="AA91" i="23"/>
  <c r="AB91" i="23"/>
  <c r="AC91" i="23"/>
  <c r="AD91" i="23"/>
  <c r="AE91" i="23"/>
  <c r="T89" i="23"/>
  <c r="U89" i="23"/>
  <c r="V89" i="23"/>
  <c r="W89" i="23"/>
  <c r="X89" i="23"/>
  <c r="Y89" i="23"/>
  <c r="Z89" i="23"/>
  <c r="AA89" i="23"/>
  <c r="AB89" i="23"/>
  <c r="AC89" i="23"/>
  <c r="AD89" i="23"/>
  <c r="AE89" i="23"/>
  <c r="T88" i="23"/>
  <c r="U88" i="23"/>
  <c r="V88" i="23"/>
  <c r="W88" i="23"/>
  <c r="X88" i="23"/>
  <c r="Y88" i="23"/>
  <c r="Z88" i="23"/>
  <c r="AA88" i="23"/>
  <c r="AB88" i="23"/>
  <c r="AC88" i="23"/>
  <c r="AD88" i="23"/>
  <c r="AE88" i="23"/>
  <c r="T86" i="23"/>
  <c r="U86" i="23"/>
  <c r="V86" i="23"/>
  <c r="W86" i="23"/>
  <c r="X86" i="23"/>
  <c r="Y86" i="23"/>
  <c r="Z86" i="23"/>
  <c r="AA86" i="23"/>
  <c r="AB86" i="23"/>
  <c r="AC86" i="23"/>
  <c r="AD86" i="23"/>
  <c r="T85" i="23"/>
  <c r="U85" i="23"/>
  <c r="V85" i="23"/>
  <c r="W85" i="23"/>
  <c r="X85" i="23"/>
  <c r="Y85" i="23"/>
  <c r="Z85" i="23"/>
  <c r="AA85" i="23"/>
  <c r="AB85" i="23"/>
  <c r="AC85" i="23"/>
  <c r="AD85" i="23"/>
  <c r="AE85" i="23"/>
  <c r="T84" i="23"/>
  <c r="U84" i="23"/>
  <c r="V84" i="23"/>
  <c r="W84" i="23"/>
  <c r="X84" i="23"/>
  <c r="Y84" i="23"/>
  <c r="Z84" i="23"/>
  <c r="AA84" i="23"/>
  <c r="AB84" i="23"/>
  <c r="AC84" i="23"/>
  <c r="AD84" i="23"/>
  <c r="AE84" i="23"/>
  <c r="T81" i="23"/>
  <c r="U81" i="23"/>
  <c r="V81" i="23"/>
  <c r="W81" i="23"/>
  <c r="X81" i="23"/>
  <c r="Y81" i="23"/>
  <c r="Z81" i="23"/>
  <c r="AA81" i="23"/>
  <c r="AB81" i="23"/>
  <c r="AC81" i="23"/>
  <c r="AD81" i="23"/>
  <c r="AE81" i="23"/>
  <c r="T80" i="23"/>
  <c r="U80" i="23"/>
  <c r="V80" i="23"/>
  <c r="W80" i="23"/>
  <c r="X80" i="23"/>
  <c r="Y80" i="23"/>
  <c r="Z80" i="23"/>
  <c r="AA80" i="23"/>
  <c r="AB80" i="23"/>
  <c r="AC80" i="23"/>
  <c r="AD80" i="23"/>
  <c r="AE80" i="23"/>
  <c r="C21" i="11"/>
  <c r="D21" i="11"/>
  <c r="E21" i="11"/>
  <c r="F21" i="11"/>
  <c r="C20" i="11"/>
  <c r="D20" i="11"/>
  <c r="E20" i="11"/>
  <c r="F20" i="11"/>
  <c r="G21" i="11"/>
  <c r="X38" i="18"/>
  <c r="Y38" i="18"/>
  <c r="Z38" i="18"/>
  <c r="W38" i="18"/>
  <c r="F55" i="38"/>
  <c r="D49" i="38"/>
  <c r="C49" i="38"/>
  <c r="E53" i="38"/>
  <c r="E58" i="38"/>
  <c r="E55" i="38"/>
  <c r="F53" i="38"/>
  <c r="D53" i="38"/>
  <c r="C53" i="38"/>
  <c r="C24" i="11" l="1"/>
  <c r="C23" i="11"/>
  <c r="E24" i="11"/>
  <c r="E23" i="11"/>
  <c r="F24" i="11"/>
  <c r="F23" i="11"/>
  <c r="D23" i="11"/>
  <c r="D24" i="11"/>
  <c r="AG56" i="23"/>
  <c r="AG6" i="23"/>
  <c r="AG23" i="23"/>
  <c r="AG71" i="23"/>
  <c r="AG65" i="23"/>
  <c r="AG24" i="23"/>
  <c r="AG16" i="23"/>
  <c r="AG10" i="23"/>
  <c r="AG75" i="23"/>
  <c r="AG66" i="23"/>
  <c r="AG60" i="23"/>
  <c r="AG14" i="23"/>
  <c r="AG15" i="23"/>
  <c r="AG62" i="23"/>
  <c r="AG73" i="23"/>
  <c r="AG12" i="23"/>
  <c r="AG61" i="23"/>
  <c r="AG17" i="23"/>
  <c r="AG64" i="23"/>
  <c r="AG7" i="23"/>
  <c r="AG74" i="23"/>
  <c r="AG11" i="23"/>
  <c r="AG20" i="23"/>
  <c r="AG21" i="23"/>
  <c r="AG72" i="23"/>
  <c r="AG25" i="23"/>
  <c r="AG57" i="23"/>
  <c r="AG67" i="23"/>
  <c r="AG22" i="23"/>
  <c r="AG70" i="23"/>
  <c r="AF80" i="23"/>
  <c r="AF81" i="23"/>
  <c r="AF99" i="23"/>
  <c r="AF88" i="23"/>
  <c r="AF89" i="23"/>
  <c r="AF91" i="23"/>
  <c r="AF94" i="23"/>
  <c r="AF86" i="23"/>
  <c r="AF98" i="23"/>
  <c r="AF95" i="23"/>
  <c r="AF85" i="23"/>
  <c r="AF97" i="23"/>
  <c r="BZ31" i="23"/>
  <c r="BZ32" i="23" s="1"/>
  <c r="BZ33" i="23" s="1"/>
  <c r="AF84" i="23"/>
  <c r="AF96" i="23"/>
  <c r="CA32" i="23" l="1"/>
  <c r="CA33" i="23" s="1"/>
  <c r="W52" i="18"/>
  <c r="X52" i="18"/>
  <c r="Y52" i="18"/>
  <c r="Z52" i="18"/>
  <c r="W65" i="18"/>
  <c r="X65" i="18"/>
  <c r="Y65" i="18"/>
  <c r="AA52" i="18"/>
  <c r="W16" i="18"/>
  <c r="L27" i="32"/>
  <c r="L17" i="32"/>
  <c r="L24" i="32"/>
  <c r="W14" i="18" l="1"/>
  <c r="W19" i="18" s="1"/>
  <c r="G22" i="11"/>
  <c r="L30" i="32"/>
  <c r="L33" i="32"/>
  <c r="L29" i="32"/>
  <c r="L28" i="32"/>
  <c r="P8" i="20"/>
  <c r="O30" i="39"/>
  <c r="P30" i="39" s="1"/>
  <c r="E66" i="8"/>
  <c r="D66" i="8"/>
  <c r="E58" i="8"/>
  <c r="D58" i="8"/>
  <c r="W67" i="18"/>
  <c r="X67" i="18"/>
  <c r="Y67" i="18"/>
  <c r="Z67" i="18"/>
  <c r="AA67" i="18"/>
  <c r="W68" i="18"/>
  <c r="X68" i="18"/>
  <c r="Y68" i="18"/>
  <c r="Z68" i="18"/>
  <c r="AA68" i="18"/>
  <c r="W69" i="18"/>
  <c r="X69" i="18"/>
  <c r="Y69" i="18"/>
  <c r="Z69" i="18"/>
  <c r="AA69" i="18"/>
  <c r="W70" i="18"/>
  <c r="X70" i="18"/>
  <c r="Y70" i="18"/>
  <c r="Z70" i="18"/>
  <c r="AA70" i="18"/>
  <c r="W71" i="18"/>
  <c r="X71" i="18"/>
  <c r="Y71" i="18"/>
  <c r="Z71" i="18"/>
  <c r="AA71" i="18"/>
  <c r="W72" i="18"/>
  <c r="X72" i="18"/>
  <c r="Y72" i="18"/>
  <c r="Z72" i="18"/>
  <c r="AA72" i="18"/>
  <c r="W73" i="18"/>
  <c r="X73" i="18"/>
  <c r="Y73" i="18"/>
  <c r="Z73" i="18"/>
  <c r="AA73" i="18"/>
  <c r="W74" i="18"/>
  <c r="X74" i="18"/>
  <c r="Y74" i="18"/>
  <c r="Z74" i="18"/>
  <c r="AA74" i="18"/>
  <c r="W75" i="18"/>
  <c r="X75" i="18"/>
  <c r="Y75" i="18"/>
  <c r="Z75" i="18"/>
  <c r="AA75" i="18"/>
  <c r="W76" i="18"/>
  <c r="X76" i="18"/>
  <c r="Y76" i="18"/>
  <c r="Z76" i="18"/>
  <c r="AA76" i="18"/>
  <c r="W77" i="18"/>
  <c r="X77" i="18"/>
  <c r="Y77" i="18"/>
  <c r="Z77" i="18"/>
  <c r="W78" i="18"/>
  <c r="X78" i="18"/>
  <c r="Y78" i="18"/>
  <c r="Z78" i="18"/>
  <c r="AA78" i="18"/>
  <c r="W20" i="18" s="1"/>
  <c r="X66" i="18"/>
  <c r="Y66" i="18"/>
  <c r="Z66" i="18"/>
  <c r="AA66" i="18"/>
  <c r="W66" i="18"/>
  <c r="W21" i="18"/>
  <c r="V78" i="18"/>
  <c r="U78" i="18"/>
  <c r="T78" i="18"/>
  <c r="S78" i="18"/>
  <c r="R78" i="18"/>
  <c r="V77" i="18"/>
  <c r="U77" i="18"/>
  <c r="T77" i="18"/>
  <c r="S77" i="18"/>
  <c r="R77" i="18"/>
  <c r="V76" i="18"/>
  <c r="U76" i="18"/>
  <c r="T76" i="18"/>
  <c r="S76" i="18"/>
  <c r="R76" i="18"/>
  <c r="V75" i="18"/>
  <c r="U75" i="18"/>
  <c r="T75" i="18"/>
  <c r="S75" i="18"/>
  <c r="R75" i="18"/>
  <c r="V74" i="18"/>
  <c r="U74" i="18"/>
  <c r="T74" i="18"/>
  <c r="S74" i="18"/>
  <c r="R74" i="18"/>
  <c r="V73" i="18"/>
  <c r="U73" i="18"/>
  <c r="T73" i="18"/>
  <c r="S73" i="18"/>
  <c r="R73" i="18"/>
  <c r="V72" i="18"/>
  <c r="U72" i="18"/>
  <c r="T72" i="18"/>
  <c r="S72" i="18"/>
  <c r="R72" i="18"/>
  <c r="V71" i="18"/>
  <c r="U71" i="18"/>
  <c r="T71" i="18"/>
  <c r="S71" i="18"/>
  <c r="R71" i="18"/>
  <c r="V70" i="18"/>
  <c r="U70" i="18"/>
  <c r="T70" i="18"/>
  <c r="S70" i="18"/>
  <c r="R70" i="18"/>
  <c r="V69" i="18"/>
  <c r="U69" i="18"/>
  <c r="T69" i="18"/>
  <c r="S69" i="18"/>
  <c r="R69" i="18"/>
  <c r="V68" i="18"/>
  <c r="U68" i="18"/>
  <c r="T68" i="18"/>
  <c r="S68" i="18"/>
  <c r="R68" i="18"/>
  <c r="V67" i="18"/>
  <c r="U67" i="18"/>
  <c r="T67" i="18"/>
  <c r="S67" i="18"/>
  <c r="R67" i="18"/>
  <c r="V66" i="18"/>
  <c r="U66" i="18"/>
  <c r="T66" i="18"/>
  <c r="S66" i="18"/>
  <c r="R66" i="18"/>
  <c r="K33" i="32"/>
  <c r="K27" i="32"/>
  <c r="K24" i="32"/>
  <c r="K10" i="32"/>
  <c r="R15" i="18" l="1"/>
  <c r="R23" i="18"/>
  <c r="W23" i="18"/>
  <c r="R22" i="18"/>
  <c r="W22" i="18"/>
  <c r="G23" i="11"/>
  <c r="G24" i="11"/>
  <c r="L31" i="32"/>
  <c r="L34" i="32"/>
  <c r="K34" i="32"/>
  <c r="I30" i="32"/>
  <c r="H30" i="32"/>
  <c r="G30" i="32"/>
  <c r="F30" i="32"/>
  <c r="E30" i="32"/>
  <c r="D30" i="32"/>
  <c r="J31" i="32"/>
  <c r="I29" i="32"/>
  <c r="H29" i="32"/>
  <c r="G29" i="32"/>
  <c r="F29" i="32"/>
  <c r="E29" i="32"/>
  <c r="D29" i="32"/>
  <c r="J28" i="32"/>
  <c r="I28" i="32"/>
  <c r="H28" i="32"/>
  <c r="G28" i="32"/>
  <c r="F28" i="32"/>
  <c r="E28" i="32"/>
  <c r="D28" i="32"/>
  <c r="I24" i="32"/>
  <c r="H24" i="32"/>
  <c r="G24" i="32"/>
  <c r="F24" i="32"/>
  <c r="E24" i="32"/>
  <c r="H17" i="32"/>
  <c r="G17" i="32"/>
  <c r="F17" i="32"/>
  <c r="E17" i="32"/>
  <c r="D17" i="32"/>
  <c r="I10" i="32"/>
  <c r="H10" i="32"/>
  <c r="G10" i="32"/>
  <c r="F10" i="32"/>
  <c r="E10" i="32"/>
  <c r="D10" i="32"/>
  <c r="D31" i="32" l="1"/>
  <c r="E31" i="32"/>
  <c r="F31" i="32"/>
  <c r="G31" i="32"/>
  <c r="H31" i="32"/>
  <c r="I31" i="32"/>
  <c r="AA43" i="9" l="1"/>
  <c r="Z43" i="9"/>
  <c r="Y43" i="9"/>
  <c r="X43" i="9"/>
  <c r="W43" i="9"/>
  <c r="V43" i="9"/>
  <c r="AA42" i="9"/>
  <c r="Z42" i="9"/>
  <c r="Y42" i="9"/>
  <c r="X42" i="9"/>
  <c r="W42" i="9"/>
  <c r="V42" i="9"/>
  <c r="M8" i="20"/>
  <c r="AB43" i="9" l="1"/>
  <c r="AB42" i="9"/>
  <c r="V45" i="9"/>
  <c r="V44" i="9"/>
  <c r="AA44" i="9"/>
  <c r="X45" i="9"/>
  <c r="W44" i="9"/>
  <c r="Y45" i="9"/>
  <c r="X44" i="9"/>
  <c r="Z45" i="9"/>
  <c r="Z44" i="9"/>
  <c r="W45" i="9"/>
  <c r="Y44" i="9"/>
  <c r="AA45" i="9"/>
  <c r="H80" i="23"/>
  <c r="G80" i="23"/>
  <c r="F80" i="23"/>
  <c r="E80" i="23"/>
  <c r="H81" i="23"/>
  <c r="G81" i="23"/>
  <c r="F81" i="23"/>
  <c r="E81" i="23"/>
  <c r="H84" i="23"/>
  <c r="G84" i="23"/>
  <c r="F84" i="23"/>
  <c r="E84" i="23"/>
  <c r="H85" i="23"/>
  <c r="G85" i="23"/>
  <c r="F85" i="23"/>
  <c r="E85" i="23"/>
  <c r="H86" i="23"/>
  <c r="G86" i="23"/>
  <c r="F86" i="23"/>
  <c r="E86" i="23"/>
  <c r="H88" i="23"/>
  <c r="G88" i="23"/>
  <c r="F88" i="23"/>
  <c r="E88" i="23"/>
  <c r="H89" i="23"/>
  <c r="G89" i="23"/>
  <c r="F89" i="23"/>
  <c r="E89" i="23"/>
  <c r="H91" i="23"/>
  <c r="G91" i="23"/>
  <c r="F91" i="23"/>
  <c r="E91" i="23"/>
  <c r="H94" i="23"/>
  <c r="G94" i="23"/>
  <c r="F94" i="23"/>
  <c r="E94" i="23"/>
  <c r="H95" i="23"/>
  <c r="G95" i="23"/>
  <c r="F95" i="23"/>
  <c r="E95" i="23"/>
  <c r="H96" i="23"/>
  <c r="G96" i="23"/>
  <c r="F96" i="23"/>
  <c r="E96" i="23"/>
  <c r="H97" i="23"/>
  <c r="G97" i="23"/>
  <c r="F97" i="23"/>
  <c r="E97" i="23"/>
  <c r="H98" i="23"/>
  <c r="G98" i="23"/>
  <c r="F98" i="23"/>
  <c r="E98" i="23"/>
  <c r="H99" i="23"/>
  <c r="G99" i="23"/>
  <c r="F99" i="23"/>
  <c r="E99" i="23"/>
  <c r="D8" i="20" l="1"/>
  <c r="G8" i="20"/>
  <c r="J8" i="20"/>
  <c r="N66" i="18" l="1"/>
  <c r="O66" i="18"/>
  <c r="P66" i="18"/>
  <c r="Q66" i="18"/>
  <c r="N67" i="18"/>
  <c r="O67" i="18"/>
  <c r="P67" i="18"/>
  <c r="Q67" i="18"/>
  <c r="N68" i="18"/>
  <c r="O68" i="18"/>
  <c r="P68" i="18"/>
  <c r="Q68" i="18"/>
  <c r="N69" i="18"/>
  <c r="O69" i="18"/>
  <c r="P69" i="18"/>
  <c r="Q69" i="18"/>
  <c r="N70" i="18"/>
  <c r="O70" i="18"/>
  <c r="P70" i="18"/>
  <c r="Q70" i="18"/>
  <c r="N71" i="18"/>
  <c r="O71" i="18"/>
  <c r="P71" i="18"/>
  <c r="Q71" i="18"/>
  <c r="N72" i="18"/>
  <c r="O72" i="18"/>
  <c r="P72" i="18"/>
  <c r="Q72" i="18"/>
  <c r="N73" i="18"/>
  <c r="O73" i="18"/>
  <c r="P73" i="18"/>
  <c r="Q73" i="18"/>
  <c r="N74" i="18"/>
  <c r="O74" i="18"/>
  <c r="P74" i="18"/>
  <c r="Q74" i="18"/>
  <c r="N75" i="18"/>
  <c r="O75" i="18"/>
  <c r="P75" i="18"/>
  <c r="Q75" i="18"/>
  <c r="N76" i="18"/>
  <c r="O76" i="18"/>
  <c r="P76" i="18"/>
  <c r="Q76" i="18"/>
  <c r="N77" i="18"/>
  <c r="O77" i="18"/>
  <c r="P77" i="18"/>
  <c r="N78" i="18"/>
  <c r="O78" i="18"/>
  <c r="P78" i="18"/>
  <c r="Q78" i="18"/>
  <c r="M67" i="18"/>
  <c r="M68" i="18"/>
  <c r="M69" i="18"/>
  <c r="M70" i="18"/>
  <c r="M71" i="18"/>
  <c r="M72" i="18"/>
  <c r="M73" i="18"/>
  <c r="M74" i="18"/>
  <c r="M75" i="18"/>
  <c r="M76" i="18"/>
  <c r="M77" i="18"/>
  <c r="M78" i="18"/>
  <c r="M66" i="18"/>
  <c r="E14" i="1"/>
  <c r="U43" i="9" l="1"/>
  <c r="T43" i="9"/>
  <c r="S43" i="9"/>
  <c r="R43" i="9"/>
  <c r="Q43" i="9"/>
  <c r="P43" i="9"/>
  <c r="U42" i="9"/>
  <c r="T42" i="9"/>
  <c r="S42" i="9"/>
  <c r="R42" i="9"/>
  <c r="Q42" i="9"/>
  <c r="P42" i="9"/>
  <c r="U45" i="9" l="1"/>
  <c r="U44" i="9"/>
  <c r="S44" i="9"/>
  <c r="T44" i="9"/>
  <c r="P45" i="9"/>
  <c r="Q45" i="9"/>
  <c r="P44" i="9"/>
  <c r="R45" i="9"/>
  <c r="Q44" i="9"/>
  <c r="S45" i="9"/>
  <c r="R44" i="9"/>
  <c r="T45" i="9"/>
  <c r="F23" i="7"/>
  <c r="G18" i="4"/>
  <c r="G17" i="4"/>
  <c r="G19" i="4" l="1"/>
  <c r="D14" i="1" l="1"/>
  <c r="AK75" i="18"/>
  <c r="AK77" i="18" l="1"/>
  <c r="AG8" i="18"/>
  <c r="Q77" i="18"/>
  <c r="M13" i="18"/>
  <c r="AG20" i="18" l="1"/>
  <c r="AG23" i="18"/>
  <c r="M23" i="18"/>
  <c r="M22" i="18"/>
  <c r="T6" i="51" l="1"/>
  <c r="T20" i="51" s="1"/>
  <c r="T25" i="51" s="1"/>
  <c r="BK20" i="51" l="1"/>
  <c r="BK25" i="51"/>
  <c r="BK57" i="5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Callum Davison</author>
  </authors>
  <commentList>
    <comment ref="J5" authorId="0" shapeId="0" xr:uid="{B52179AA-856B-4E5D-B67A-55BF31520933}">
      <text>
        <r>
          <rPr>
            <b/>
            <sz val="9"/>
            <color indexed="81"/>
            <rFont val="Tahoma"/>
            <family val="2"/>
          </rPr>
          <t>Callum Davison:</t>
        </r>
        <r>
          <rPr>
            <sz val="9"/>
            <color indexed="81"/>
            <rFont val="Tahoma"/>
            <family val="2"/>
          </rPr>
          <t xml:space="preserve">
Impact of bonus payments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tc={34268A09-6470-424F-AB82-374E7D8DB348}</author>
  </authors>
  <commentList>
    <comment ref="G26" authorId="0" shapeId="0" xr:uid="{34268A09-6470-424F-AB82-374E7D8DB348}">
      <text>
        <t>[Threaded comment]
Your version of Excel allows you to read this threaded comment; however, any edits to it will get removed if the file is opened in a newer version of Excel. Learn more: https://go.microsoft.com/fwlink/?linkid=870924
Comment:
    @Jonathan Challis is this consistent with the other data we have?</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tc={A73C1596-6274-4475-AD48-BBAC0A15FA92}</author>
  </authors>
  <commentList>
    <comment ref="Q66" authorId="0" shapeId="0" xr:uid="{A73C1596-6274-4475-AD48-BBAC0A15FA92}">
      <text>
        <t>[Threaded comment]
Your version of Excel allows you to read this threaded comment; however, any edits to it will get removed if the file is opened in a newer version of Excel. Learn more: https://go.microsoft.com/fwlink/?linkid=870924
Comment:
    I don't have the breakdown by airport as this is aggregated data from Occupational Health</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tc={0821DD10-092A-415B-9EA1-346F94F7B722}</author>
    <author>tc={D3BBF81E-C87F-4CD8-ACAB-0E3B75E03699}</author>
    <author>tc={D95738E6-7A01-4A6B-BB3D-A2A481E33B21}</author>
    <author>tc={C63383D4-72E5-465D-B682-52610CDFC853}</author>
    <author>tc={59EC14AC-B97B-4C10-B18D-ECB99246BA8C}</author>
    <author>tc={0387146F-BA11-4FBC-A031-4BBC11FA8805}</author>
    <author>tc={EB0D65EA-24F1-417D-B330-668D9E623CEE}</author>
    <author>tc={76373BD2-EAAA-4F0A-971D-AF8A533C24C6}</author>
    <author>tc={DE880F67-8ECB-43AC-8EA2-670C53C7B63F}</author>
    <author>tc={F3639934-2424-4F87-AFC5-3D2E7654DA8B}</author>
    <author>tc={78BDC6EA-7B7A-47EF-B73D-28C82B5BF134}</author>
    <author>tc={55968B2A-FBBA-44F0-B150-C2E8E7F0FC0E}</author>
    <author>tc={D19D1021-C208-4BCE-AE27-B4D321FFA609}</author>
  </authors>
  <commentList>
    <comment ref="G5" authorId="0" shapeId="0" xr:uid="{0821DD10-092A-415B-9EA1-346F94F7B722}">
      <text>
        <t>[Threaded comment]
Your version of Excel allows you to read this threaded comment; however, any edits to it will get removed if the file is opened in a newer version of Excel. Learn more: https://go.microsoft.com/fwlink/?linkid=870924
Comment:
    This type not used</t>
      </text>
    </comment>
    <comment ref="H6" authorId="1" shapeId="0" xr:uid="{D3BBF81E-C87F-4CD8-ACAB-0E3B75E03699}">
      <text>
        <t xml:space="preserve">[Threaded comment]
Your version of Excel allows you to read this threaded comment; however, any edits to it will get removed if the file is opened in a newer version of Excel. Learn more: https://go.microsoft.com/fwlink/?linkid=870924
Comment:
    October 2023 to March 2024
Reply:
    Updated to include April 23 - March 24
</t>
      </text>
    </comment>
    <comment ref="G7" authorId="2" shapeId="0" xr:uid="{D95738E6-7A01-4A6B-BB3D-A2A481E33B21}">
      <text>
        <t>[Threaded comment]
Your version of Excel allows you to read this threaded comment; however, any edits to it will get removed if the file is opened in a newer version of Excel. Learn more: https://go.microsoft.com/fwlink/?linkid=870924
Comment:
    This type not used</t>
      </text>
    </comment>
    <comment ref="G9" authorId="3" shapeId="0" xr:uid="{C63383D4-72E5-465D-B682-52610CDFC853}">
      <text>
        <t>[Threaded comment]
Your version of Excel allows you to read this threaded comment; however, any edits to it will get removed if the file is opened in a newer version of Excel. Learn more: https://go.microsoft.com/fwlink/?linkid=870924
Comment:
    Some remains on plane to shear off while departing</t>
      </text>
    </comment>
    <comment ref="H9" authorId="4" shapeId="0" xr:uid="{59EC14AC-B97B-4C10-B18D-ECB99246BA8C}">
      <text>
        <t>[Threaded comment]
Your version of Excel allows you to read this threaded comment; however, any edits to it will get removed if the file is opened in a newer version of Excel. Learn more: https://go.microsoft.com/fwlink/?linkid=870924
Comment:
    Some remains on plane to shear off while departing</t>
      </text>
    </comment>
    <comment ref="I9" authorId="5" shapeId="0" xr:uid="{0387146F-BA11-4FBC-A031-4BBC11FA8805}">
      <text>
        <t>[Threaded comment]
Your version of Excel allows you to read this threaded comment; however, any edits to it will get removed if the file is opened in a newer version of Excel. Learn more: https://go.microsoft.com/fwlink/?linkid=870924
Comment:
    Some remains on plane to shear off while departing</t>
      </text>
    </comment>
    <comment ref="G12" authorId="6" shapeId="0" xr:uid="{EB0D65EA-24F1-417D-B330-668D9E623CEE}">
      <text>
        <t>[Threaded comment]
Your version of Excel allows you to read this threaded comment; however, any edits to it will get removed if the file is opened in a newer version of Excel. Learn more: https://go.microsoft.com/fwlink/?linkid=870924
Comment:
    flow meters not available at all outfalls</t>
      </text>
    </comment>
    <comment ref="H12" authorId="7" shapeId="0" xr:uid="{76373BD2-EAAA-4F0A-971D-AF8A533C24C6}">
      <text>
        <t>[Threaded comment]
Your version of Excel allows you to read this threaded comment; however, any edits to it will get removed if the file is opened in a newer version of Excel. Learn more: https://go.microsoft.com/fwlink/?linkid=870924
Comment:
    flow meters not available at all outfalls</t>
      </text>
    </comment>
    <comment ref="G13" authorId="8" shapeId="0" xr:uid="{DE880F67-8ECB-43AC-8EA2-670C53C7B63F}">
      <text>
        <t>[Threaded comment]
Your version of Excel allows you to read this threaded comment; however, any edits to it will get removed if the file is opened in a newer version of Excel. Learn more: https://go.microsoft.com/fwlink/?linkid=870924
Comment:
    no flow meter installed on TEDs</t>
      </text>
    </comment>
    <comment ref="H13" authorId="9" shapeId="0" xr:uid="{F3639934-2424-4F87-AFC5-3D2E7654DA8B}">
      <text>
        <t>[Threaded comment]
Your version of Excel allows you to read this threaded comment; however, any edits to it will get removed if the file is opened in a newer version of Excel. Learn more: https://go.microsoft.com/fwlink/?linkid=870924
Comment:
    no flow meter installed on TEDs</t>
      </text>
    </comment>
    <comment ref="G19" authorId="10" shapeId="0" xr:uid="{78BDC6EA-7B7A-47EF-B73D-28C82B5BF134}">
      <text>
        <t xml:space="preserve">[Threaded comment]
Your version of Excel allows you to read this threaded comment; however, any edits to it will get removed if the file is opened in a newer version of Excel. Learn more: https://go.microsoft.com/fwlink/?linkid=870924
Comment:
    Andrew Doggart
Reply:
    Pond B - two breaches. Two samples failed - road car park and other surface that drain into a balance pond without water supply and we are manually operating an outlet to manage weather/suspended solids being washed off the catchment. Rain occurs when not forecast or at 2am outside general checks so can not guarantee compliance. Andrew Doggart. Raised capital project - increase solar ponels/wind turbine to monitor water quality. </t>
      </text>
    </comment>
    <comment ref="B25" authorId="11" shapeId="0" xr:uid="{55968B2A-FBBA-44F0-B150-C2E8E7F0FC0E}">
      <text>
        <t xml:space="preserve">[Threaded comment]
Your version of Excel allows you to read this threaded comment; however, any edits to it will get removed if the file is opened in a newer version of Excel. Learn more: https://go.microsoft.com/fwlink/?linkid=870924
Comment:
    Nathan Masters
</t>
      </text>
    </comment>
    <comment ref="C49" authorId="12" shapeId="0" xr:uid="{D19D1021-C208-4BCE-AE27-B4D321FFA609}">
      <text>
        <t>[Threaded comment]
Your version of Excel allows you to read this threaded comment; however, any edits to it will get removed if the file is opened in a newer version of Excel. Learn more: https://go.microsoft.com/fwlink/?linkid=870924
Comment:
    Check once audit has been completed</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Adam Lester</author>
  </authors>
  <commentList>
    <comment ref="AG54" authorId="0" shapeId="0" xr:uid="{50EED87B-3A62-4D98-8939-CB338C45F35E}">
      <text>
        <r>
          <rPr>
            <sz val="11"/>
            <color theme="1"/>
            <rFont val="Calibri"/>
            <family val="2"/>
            <scheme val="minor"/>
          </rPr>
          <t>Adam Lester:
CELL D115</t>
        </r>
      </text>
    </comment>
    <comment ref="AG55" authorId="0" shapeId="0" xr:uid="{6850511A-F55C-4C61-AC71-DC8A054773D0}">
      <text>
        <r>
          <rPr>
            <sz val="11"/>
            <color theme="1"/>
            <rFont val="Calibri"/>
            <family val="2"/>
            <scheme val="minor"/>
          </rPr>
          <t xml:space="preserve">Adam Lester:
CELLD112 + 113
</t>
        </r>
      </text>
    </comment>
  </commentList>
</comments>
</file>

<file path=xl/sharedStrings.xml><?xml version="1.0" encoding="utf-8"?>
<sst xmlns="http://schemas.openxmlformats.org/spreadsheetml/2006/main" count="11136" uniqueCount="1067">
  <si>
    <t xml:space="preserve">Manchester Airport Group GRI Content Index 2024/25 </t>
  </si>
  <si>
    <r>
      <rPr>
        <sz val="11"/>
        <color rgb="FF000000"/>
        <rFont val="Futura Lt BT"/>
      </rPr>
      <t>Manchester Airport Group (MAG) presents its reporting against the Global Reporting Initiative (GRI). This provides a structure to our CSR reporting and provides information and data for topics that are material to our operations and sites. MAG has reported in accordance with the GRI Universal Standards 2021 for the period 1</t>
    </r>
    <r>
      <rPr>
        <vertAlign val="superscript"/>
        <sz val="11"/>
        <color rgb="FF000000"/>
        <rFont val="Futura Lt BT"/>
      </rPr>
      <t>st</t>
    </r>
    <r>
      <rPr>
        <sz val="11"/>
        <color rgb="FF000000"/>
        <rFont val="Futura Lt BT"/>
      </rPr>
      <t xml:space="preserve"> April 2024 - 31</t>
    </r>
    <r>
      <rPr>
        <vertAlign val="superscript"/>
        <sz val="11"/>
        <color rgb="FF000000"/>
        <rFont val="Futura Lt BT"/>
      </rPr>
      <t>st</t>
    </r>
    <r>
      <rPr>
        <sz val="11"/>
        <color rgb="FF000000"/>
        <rFont val="Futura Lt BT"/>
      </rPr>
      <t xml:space="preserve"> March 2025 using GR1: Foundation 2021 and applicable GRI Sector Standard(s) GRI G4: Airport Operators.</t>
    </r>
  </si>
  <si>
    <t>Corporate Social Responsibility Key Performance Indicators</t>
  </si>
  <si>
    <t>Strategic CSR Objective</t>
  </si>
  <si>
    <t>Target</t>
  </si>
  <si>
    <t>Year</t>
  </si>
  <si>
    <t>Indicator</t>
  </si>
  <si>
    <t>CSR Committee 
-Reported measure?</t>
  </si>
  <si>
    <t>Reportable KPI</t>
  </si>
  <si>
    <t>2015/16</t>
  </si>
  <si>
    <t>2016/17</t>
  </si>
  <si>
    <t>2017/18</t>
  </si>
  <si>
    <t>2018/19</t>
  </si>
  <si>
    <t>2019/20</t>
  </si>
  <si>
    <t>2020/21</t>
  </si>
  <si>
    <t>2021/22</t>
  </si>
  <si>
    <t>2022/23</t>
  </si>
  <si>
    <t>Change %</t>
  </si>
  <si>
    <t>Positive/Negative Colour Required</t>
  </si>
  <si>
    <t>Zero carbon airports</t>
  </si>
  <si>
    <t>CSR Strategy 2020-2025</t>
  </si>
  <si>
    <t>A competition will be launched offering five years free landing fees to the first electric aircraft operating at one of our airports.</t>
  </si>
  <si>
    <t>è</t>
  </si>
  <si>
    <t>û</t>
  </si>
  <si>
    <t>n/a</t>
  </si>
  <si>
    <t>Complete (2020)</t>
  </si>
  <si>
    <t>All of MAG’s airport operations will be net zero carbon by no later than 2038</t>
  </si>
  <si>
    <t>Not yet due</t>
  </si>
  <si>
    <t>Total energy use (kWh, 'SECR Scope')</t>
  </si>
  <si>
    <t>ü</t>
  </si>
  <si>
    <t>New measure</t>
  </si>
  <si>
    <t>Energy from renewable sources  (%)</t>
  </si>
  <si>
    <t>Gross location-based emissions 
(tonnes CO2e, ‘SECR Scope’)</t>
  </si>
  <si>
    <t>Gross market-based emissions 
(tonnes CO2e, ‘SECR Scope’)</t>
  </si>
  <si>
    <t>Gross market-based emissions (tCO2e/traffic unit, 'SECR Scope')</t>
  </si>
  <si>
    <t>Carbon offsets
(tonnes CO2e, ‘SECR Scope’)</t>
  </si>
  <si>
    <t>Net market-based emissions (tCO2e, Scope 1 &amp; 2)</t>
  </si>
  <si>
    <t>Environmental management at each of our airports will continue to be certified to the international standard ISO14001 and our energy management will be certified to ISO50001.</t>
  </si>
  <si>
    <t>% of major operational sites with management systems certified to ISO14001 for environmental management</t>
  </si>
  <si>
    <t>% of major operational sites with management systems certified to ISO50001 for energy management</t>
  </si>
  <si>
    <t xml:space="preserve">CHECK WITH MARTIN </t>
  </si>
  <si>
    <t>% of samples within water discharge consent limits</t>
  </si>
  <si>
    <t>% of samples within effluent discharge consent limits</t>
  </si>
  <si>
    <t>Total breaches of air quality limits</t>
  </si>
  <si>
    <t>We will target all new buildings to be certified to an ‘Excellent’ standard by BREEAM. Where the unique nature of some airport buildings makes this impractical to achieve our minimum standard will be ‘Very Good’.</t>
  </si>
  <si>
    <t>Delivery moved later</t>
  </si>
  <si>
    <t>A Sustainable Transport Fund will be operated at each of our airports to fund improvements in public transport, cycling and walking options. Our ’STFs’ will be funded through a levy on car park and ‘drop-off’ charges</t>
  </si>
  <si>
    <t>By 2021 we will send no waste to landfill.</t>
  </si>
  <si>
    <t>Total waste Tonnes</t>
  </si>
  <si>
    <t>Waste intensity Tonnes of waste per traffic unit</t>
  </si>
  <si>
    <t>na</t>
  </si>
  <si>
    <t>% waste segregated for recycling on-site</t>
  </si>
  <si>
    <t xml:space="preserve">%  of waste diverted from landfill </t>
  </si>
  <si>
    <t>We will eradicate single use plastics in all of our Escape and 1903 executive lounges.</t>
  </si>
  <si>
    <t xml:space="preserve">We will develop a methodology for assessing and reporting the embodied carbon of all large construction projects.                                                                                                                                                                                                                                                                                                                                                                                                                                                                                                                                 </t>
  </si>
  <si>
    <t>We will develop and publish a new Conservation Strategy, delivering biodiversity improvements as part of all new developments.</t>
  </si>
  <si>
    <t>Complete (2021)</t>
  </si>
  <si>
    <t>We will publish information about emissions from aircraft operating at our airports and introduce a league table identifying the most efficient operators.</t>
  </si>
  <si>
    <t>We will publish new sustainable transport targets which will reduce the impacts of passenger and staff journeys to our airports.</t>
  </si>
  <si>
    <t>Sustainable surface Access %</t>
  </si>
  <si>
    <t>Surface Access (tonnes of CO2e)</t>
  </si>
  <si>
    <t>Surface Access (kg of CO2e emissions per passenger)</t>
  </si>
  <si>
    <t xml:space="preserve">We will introduce emission-based landing charges for airlines. </t>
  </si>
  <si>
    <t xml:space="preserve">Working with industry experts, we will apply our methodology for calculating embodied carbon to reduce the carbon intensity of a selection of our capital projects.  </t>
  </si>
  <si>
    <t xml:space="preserve">All new and replacement airport infrastructure will run on renewable energy.  </t>
  </si>
  <si>
    <t>We will invest £10m to improve public transport, cycling and walking facilities across our airports.</t>
  </si>
  <si>
    <t>We will work closely with our business partners to reduce emissions from other airport-based vehicles, regularly reporting progress.</t>
  </si>
  <si>
    <t>We will aim to transition to a fleet of ultra-low emission vehicles so that by 2030 our fleet will be 100% ultra-low emission.*</t>
  </si>
  <si>
    <t>MAG fleet emissions (tonnes of CO2e)</t>
  </si>
  <si>
    <t>Opportunity for all</t>
  </si>
  <si>
    <t xml:space="preserve">As a demonstration of our commitment, we will become a ‘Committed’ employer under the Government’s ‘Disability Confident’ programme.  </t>
  </si>
  <si>
    <t>CHECK COMPLETION</t>
  </si>
  <si>
    <t xml:space="preserve">Safety is an overarching priority. We will set out our Safety Plan – which will be framed by three pillars: Culture; Management; and, Performance – and regularly track and report progress. </t>
  </si>
  <si>
    <t xml:space="preserve">Number of RIDDOR Incidents </t>
  </si>
  <si>
    <t>Total Lost Time Injury accidents</t>
  </si>
  <si>
    <t>% sickness absence (rolling annual average taken on 31st March)</t>
  </si>
  <si>
    <t>TBC</t>
  </si>
  <si>
    <t>% of major operational sites with management systems certified to ISO45001 for health and safety</t>
  </si>
  <si>
    <t xml:space="preserve">We seek to provide an environment in which all colleagues can fulfil their potential.
-As a demonstration of our commitment we will ensure that at least 50% of leadership appointments are promotions or internal candidates.  </t>
  </si>
  <si>
    <t>% Leadership roles filled through internal promotion</t>
  </si>
  <si>
    <t xml:space="preserve">We will use our diversity forums to inform a broad-based programme of activity to ensure our service for passengers with reduced mobility responds to customer needs and achieves a minimum CAA rating of ‘Good’. </t>
  </si>
  <si>
    <r>
      <t xml:space="preserve">Departing - Notified Passengers - </t>
    </r>
    <r>
      <rPr>
        <sz val="15"/>
        <color theme="9" tint="-0.249977111117893"/>
        <rFont val="Calibri"/>
        <family val="2"/>
        <scheme val="minor"/>
      </rPr>
      <t>% of all departing notified disabled passengers and those with reduced mobility provided with assistance within 30 minutes of making themselves known at a designated point.</t>
    </r>
  </si>
  <si>
    <r>
      <t xml:space="preserve">Departing - Non-notified Passengers - </t>
    </r>
    <r>
      <rPr>
        <sz val="15"/>
        <color theme="9" tint="-0.249977111117893"/>
        <rFont val="Calibri"/>
        <family val="2"/>
        <scheme val="minor"/>
      </rPr>
      <t>% of all departing non-notified disabled passengers and those with reduced mobility provided with assistance within 45 minutes of making themselves known at a designated point.</t>
    </r>
  </si>
  <si>
    <r>
      <t xml:space="preserve">Arriving - Notified Passengers - </t>
    </r>
    <r>
      <rPr>
        <sz val="15"/>
        <color theme="9" tint="-0.249977111117893"/>
        <rFont val="Calibri"/>
        <family val="2"/>
        <scheme val="minor"/>
      </rPr>
      <t>% of arriving pre-notified disabled passengers and those with reduced mobility, receiving assistance within 20 minutes from 'on chocks'.</t>
    </r>
  </si>
  <si>
    <r>
      <t xml:space="preserve">Arriving - Non-notified Passengers - </t>
    </r>
    <r>
      <rPr>
        <sz val="15"/>
        <color theme="9" tint="-0.249977111117893"/>
        <rFont val="Calibri"/>
        <family val="2"/>
        <scheme val="minor"/>
      </rPr>
      <t>% of arriving non-notified disabled passengers and those with reduced mobility receiving assistance within 45 minutes from 'on chocks'.</t>
    </r>
  </si>
  <si>
    <r>
      <t xml:space="preserve">Guest satisfaction - </t>
    </r>
    <r>
      <rPr>
        <sz val="15"/>
        <color theme="9" tint="-0.249977111117893"/>
        <rFont val="Calibri"/>
        <family val="2"/>
        <scheme val="minor"/>
      </rPr>
      <t>Average rating for financial year.</t>
    </r>
  </si>
  <si>
    <t>Does not include STN as no surveys were completed</t>
  </si>
  <si>
    <t xml:space="preserve">The inclusivity of our passenger facilities will be considered at the Design Stage of all projects.   </t>
  </si>
  <si>
    <t xml:space="preserve">As a part of MAG Connect we will work with other partners to open an additional further education facility at Manchester Airport.  </t>
  </si>
  <si>
    <t>As a part of MAG Connect, in 2020 we will open a new Aerozone education centre at Manchester Airport</t>
  </si>
  <si>
    <t xml:space="preserve">(and) Continue to operate and develop Aerozones at our other airports. We will support at least 60,000 young people over the next five years. </t>
  </si>
  <si>
    <t>Number of young people's education directly supported by M.A.G</t>
  </si>
  <si>
    <t xml:space="preserve">We will ensure that 40% of those attending MAG Connect Aerozones are from priority areas and priority schools.  </t>
  </si>
  <si>
    <t xml:space="preserve">%  of those attending MAG Connect Aerozones from priority areas and priority schools.  </t>
  </si>
  <si>
    <t xml:space="preserve">We will aim to ensure that at least 80% of people completing a MAG Connect Airport Academy programme will be successful in gaining employment with MAG or an on-site partner.  </t>
  </si>
  <si>
    <t xml:space="preserve">Our Airport Academies will support everybody who approaches us, assisting a minimum of 7,500 people over the next five years. 
At least 10% of these people will be from groups defined as ‘disadvantaged’.  </t>
  </si>
  <si>
    <t>Number of people trained through airport academy</t>
  </si>
  <si>
    <t xml:space="preserve">% of people from groups defined as ‘disadvantaged’.  </t>
  </si>
  <si>
    <t>Number of people who are placed into employment by the Airport Academy</t>
  </si>
  <si>
    <t>% of people who trained and then placed into employment by the Airport Academy</t>
  </si>
  <si>
    <t xml:space="preserve">100% of people completing a MAG Connect Airport Academy programme will be offered an interview with MAG or an on-site partner.  </t>
  </si>
  <si>
    <t xml:space="preserve">Over the next five years we will support at least 500 apprenticeships, developing our colleagues and preparing the next generation of airport colleagues for the world of work.  </t>
  </si>
  <si>
    <t xml:space="preserve">Working with our partner, Harlow College, we will maintain, develop and expand the MAG Connect Stansted Airport College. This will support at least 2,500 people in the next five years, including at least 130 apprenticeships. </t>
  </si>
  <si>
    <t>We will hold formal meet the buyer events annually at each of our airports.</t>
  </si>
  <si>
    <t>Number of meet the buyer events hosted this year</t>
  </si>
  <si>
    <t>COMPLETED</t>
  </si>
  <si>
    <t>% of  local suppliers (within 25 miles of airports) businesses.</t>
  </si>
  <si>
    <t>Procurement budget spent on suppliers local (within 25 miles of Airports) to the operation (%)</t>
  </si>
  <si>
    <t>The national economic footprint of MAG airports (GVA) (£M) direct, indirect and induced</t>
  </si>
  <si>
    <t>Not measured this year</t>
  </si>
  <si>
    <t xml:space="preserve">As a demonstration of our commitment, we will seek accreditation to the National Inclusion Standard.  </t>
  </si>
  <si>
    <t xml:space="preserve">Our Sustainable Transport Funds will support sustainable commuting, including discounted travel for colleagues, facilities for cycling and walking and car share schemes.  </t>
  </si>
  <si>
    <t xml:space="preserve">We aim to be a diverse and inclusive business. We will set out our ambitions and regularly track and report progress.  </t>
  </si>
  <si>
    <t>% of females at leadership level</t>
  </si>
  <si>
    <t xml:space="preserve">We will publish a MAG Employment Charter to ensure we provide a safe, fair and supportive workplace where colleagues can achieve their full potential.   </t>
  </si>
  <si>
    <t>Colleague engagement score</t>
  </si>
  <si>
    <t xml:space="preserve">We will review and enhance our retail opportunities to make them accessible to all our airports’ users.  </t>
  </si>
  <si>
    <t xml:space="preserve">We will review our policies to create a culture where flexible, agile working is encouraged and improve the flexible benefits we offer to encourage sustainable travel.  </t>
  </si>
  <si>
    <t xml:space="preserve">We will work with Government to support the development of a pan-sector national standard for Inclusive Transport, achieving the highest rating across all our facilities.  </t>
  </si>
  <si>
    <t xml:space="preserve">We will encourage our business partners to adopt the principles in the MAG Employment Charter.  </t>
  </si>
  <si>
    <t xml:space="preserve">We will work with the Slave Free Alliance to assess our approach to Modern Slavery and Human Trafficking, developing, publishing and delivering an action plan to implement best practice.  </t>
  </si>
  <si>
    <t>Local voices</t>
  </si>
  <si>
    <t xml:space="preserve">All of our senior leadership team will support and participate in volunteering programmes.  
</t>
  </si>
  <si>
    <t>% of leaders who volunteered</t>
  </si>
  <si>
    <t xml:space="preserve">We will work towards our long-term ambition that 30% of colleagues participate in volunteering programmes. </t>
  </si>
  <si>
    <t>% of employees who volunteered</t>
  </si>
  <si>
    <t xml:space="preserve">We will continue to build a culture of volunteering, allowing all colleagues up to two days of paid volunteering, to support selected projects in our local communities.  </t>
  </si>
  <si>
    <t>Number of volunteer hours</t>
  </si>
  <si>
    <t xml:space="preserve">We will maintain our community funds, ensuring they provide effective investment in local communities. We will work with Government to inform the development of any policy in this area. </t>
  </si>
  <si>
    <t>Total community investment through community funds (£)</t>
  </si>
  <si>
    <t>Number of beneficiary groups/initiaves</t>
  </si>
  <si>
    <t xml:space="preserve">We will support and promote colleagues’ volunteering in the communities in which they live, sharing MAG’s values for the benefit of the regions we serve.  </t>
  </si>
  <si>
    <t>-</t>
  </si>
  <si>
    <t xml:space="preserve">To ensure we continue to improve our performance and respond to developments in best practice we will maintain accreditation to appropriate benchmark(s), publicly reporting the outcomes from any assessment. </t>
  </si>
  <si>
    <t xml:space="preserve">We will periodically survey local stakeholders to assess our relationship and understand their priorities. We will introduce a strategic response that addresses any concerns.  </t>
  </si>
  <si>
    <t xml:space="preserve">We will review the arrangements for consultation at our airports, including, at each airport, the creation a new youth forum.  </t>
  </si>
  <si>
    <t xml:space="preserve">We will use our Sustainable Transport Funds to support local parking measures that are supported by our neighbours.  </t>
  </si>
  <si>
    <t xml:space="preserve">We will respond to the emerging situation with airspace change and, where it is appropriate to do so, review and update our Noise Action Plans.  </t>
  </si>
  <si>
    <t>Number of outreach meetings held.</t>
  </si>
  <si>
    <t xml:space="preserve">We will deliver our Noise Action Plans and report progress publicly.  </t>
  </si>
  <si>
    <t>%  of departures within preferred noise routes</t>
  </si>
  <si>
    <t>%  of departing flights performing continuous climb departure</t>
  </si>
  <si>
    <t>%  of arriving flights performing continuous descent approach</t>
  </si>
  <si>
    <t>Noise Footprint 57 dB LAeq day (07:00 - 23:00) Area</t>
  </si>
  <si>
    <t>Noise Footprint 57 dB LAeq day (07:00 - 23:00) Population</t>
  </si>
  <si>
    <t>Noise Footprint 57 dB LAeq night (23:00 - 07:00) Area</t>
  </si>
  <si>
    <t>Noise Footprint 57 dB LAeq night (23:00 - 07:00) Population</t>
  </si>
  <si>
    <t xml:space="preserve">We will review and improve our complaint response systems, seeking to respond more quickly and take advantage of technology.  </t>
  </si>
  <si>
    <t>Number of complaints</t>
  </si>
  <si>
    <t>Number of complaints per 1,000 air traffic movements</t>
  </si>
  <si>
    <t>Number of complainants</t>
  </si>
  <si>
    <t>Number of movements per complaint</t>
  </si>
  <si>
    <t xml:space="preserve">Working alone or in partnership with others, we will identify and sponsor research that helps to advance the sustainability of aviation. </t>
  </si>
  <si>
    <t>MAG Hours worked</t>
  </si>
  <si>
    <t>Negative changes</t>
  </si>
  <si>
    <t>Postive changes</t>
  </si>
  <si>
    <t>Waste intensity Tonnes of waster per traffic unit</t>
  </si>
  <si>
    <t>Management systems certified to ISO14001 for environmental management</t>
  </si>
  <si>
    <t>Management systems certified to ISO50001 for energy management</t>
  </si>
  <si>
    <t xml:space="preserve">GRI 2-7 </t>
  </si>
  <si>
    <t>Total number of employees broken down by type of employment contract and gender</t>
  </si>
  <si>
    <t>Business Unit</t>
  </si>
  <si>
    <t>Units</t>
  </si>
  <si>
    <t>2023/24</t>
  </si>
  <si>
    <t>2024/25</t>
  </si>
  <si>
    <t>Manchester</t>
  </si>
  <si>
    <t>% of male colleagues on full time employment contracts</t>
  </si>
  <si>
    <t>% of female colleagues on full time employment contracts</t>
  </si>
  <si>
    <t>% of male colleagues on part time employment contracts</t>
  </si>
  <si>
    <t>% of female colleagues on part time employment contracts</t>
  </si>
  <si>
    <t>% of all colleagues on full time employment contracts</t>
  </si>
  <si>
    <t>% of all colleagues on part time employment contracts</t>
  </si>
  <si>
    <t>East Midlands</t>
  </si>
  <si>
    <t>% of colleagues on full time employment contracts</t>
  </si>
  <si>
    <t>% of colleagues on part time employment contracts</t>
  </si>
  <si>
    <t>London Stansted</t>
  </si>
  <si>
    <t>CAVU (MAN, EMA &amp; STN)</t>
  </si>
  <si>
    <t>London Office</t>
  </si>
  <si>
    <t>Chicago Office</t>
  </si>
  <si>
    <t>New York Office</t>
  </si>
  <si>
    <t>N/A</t>
  </si>
  <si>
    <t>Bristol</t>
  </si>
  <si>
    <t>Other Location</t>
  </si>
  <si>
    <t>MAG</t>
  </si>
  <si>
    <t>GRI 2-21</t>
  </si>
  <si>
    <t>Remuneration and Incentives</t>
  </si>
  <si>
    <t xml:space="preserve">Ratio of the annual total compensation for the organisation’s highest-paid individual to the median annual total compensation for all employees
(excluding the highest-paid individual) in the same country. </t>
  </si>
  <si>
    <t>1.00 : 0.04</t>
  </si>
  <si>
    <t>1.00 : 0.05</t>
  </si>
  <si>
    <t>1.00 : 0.011</t>
  </si>
  <si>
    <t>1.00: 0.016</t>
  </si>
  <si>
    <t>Ratio of the percentage increase in annual total compensation for the organisation’s highest-paid individual in each country of significant operations to the median percentage increase in annual total compensation for all employees (excluding the highest-paid individual) in the same country.</t>
  </si>
  <si>
    <t>Data not available.</t>
  </si>
  <si>
    <t>Report contextual information necessary to understand the data and how the data has been compiled.</t>
  </si>
  <si>
    <t xml:space="preserve">GRI 2-30 </t>
  </si>
  <si>
    <t>`</t>
  </si>
  <si>
    <t xml:space="preserve"> </t>
  </si>
  <si>
    <t>Percentage of total employees covered by collective bargaining agreement</t>
  </si>
  <si>
    <r>
      <t xml:space="preserve">Employees covered by collective bargaining agreements </t>
    </r>
    <r>
      <rPr>
        <sz val="5"/>
        <color theme="1"/>
        <rFont val="Futura Lt BT"/>
        <family val="2"/>
      </rPr>
      <t>[1]</t>
    </r>
  </si>
  <si>
    <r>
      <t xml:space="preserve">As a percentage against the total employees </t>
    </r>
    <r>
      <rPr>
        <sz val="5"/>
        <color theme="1"/>
        <rFont val="Futura Lt BT"/>
        <family val="2"/>
      </rPr>
      <t>[1]</t>
    </r>
  </si>
  <si>
    <t>[1] As of 2024/25, our data now includes global employees (incl. CAVU) covered by bargaining agreements.</t>
  </si>
  <si>
    <t xml:space="preserve">GRI 201-1 </t>
  </si>
  <si>
    <t xml:space="preserve">Direct Economic value generated and distributed </t>
  </si>
  <si>
    <t>Report the direct economic value generated and distributed (EVG&amp;D) on an accruals basis including the basic components for the organization’s global operations as listed below. If data is presented on a cash basis, report the justification for this decision and report the basic components as listed below:</t>
  </si>
  <si>
    <r>
      <rPr>
        <u/>
        <sz val="10"/>
        <color indexed="8"/>
        <rFont val="Futura Lt BT"/>
        <family val="2"/>
      </rPr>
      <t>Direct economic value generated</t>
    </r>
    <r>
      <rPr>
        <sz val="10"/>
        <color indexed="8"/>
        <rFont val="Futura Lt BT"/>
        <family val="2"/>
      </rPr>
      <t>:</t>
    </r>
  </si>
  <si>
    <t>– Revenues (millions)</t>
  </si>
  <si>
    <t>Economic value distributed:</t>
  </si>
  <si>
    <t>– Operating costs</t>
  </si>
  <si>
    <t>– Employee wages and benefits</t>
  </si>
  <si>
    <t>– Payments to providers of capital</t>
  </si>
  <si>
    <t>– Payments to government (by country) -United Kingdom of Great Britain and Northern Ireland</t>
  </si>
  <si>
    <r>
      <t> </t>
    </r>
    <r>
      <rPr>
        <sz val="10"/>
        <color rgb="FF002060"/>
        <rFont val="Futura Lt BT"/>
        <family val="2"/>
      </rPr>
      <t>41.1</t>
    </r>
  </si>
  <si>
    <t>– Community investments</t>
  </si>
  <si>
    <t>Economic value retained (calculated as ‘Direct economic value generated’ less ‘Economic value distributed’)</t>
  </si>
  <si>
    <t xml:space="preserve">GRI 201-4 </t>
  </si>
  <si>
    <t>Finance assistance from Government</t>
  </si>
  <si>
    <t xml:space="preserve">a. Report the total monetary value of financial assistance received by the organization from governments during the reporting period, including, as a minimum:
</t>
  </si>
  <si>
    <t>• Tax relief and tax credits</t>
  </si>
  <si>
    <t>None</t>
  </si>
  <si>
    <t xml:space="preserve">None </t>
  </si>
  <si>
    <t>• Subsidies</t>
  </si>
  <si>
    <t>£771,473.81 CINEA funding at London Stansted Airport</t>
  </si>
  <si>
    <t>• Investment grants, research and development grants, and other relevant types of grants</t>
  </si>
  <si>
    <t xml:space="preserve"> €1.2m from Single European Sky Air Traffic Management Research Joint Undertaking (SESAR joint undertaking), a partnership between the EU and numerous private companies to enhance air traffic management throughout Europe. The grant was provided to enhance our air traffic management systems. </t>
  </si>
  <si>
    <t xml:space="preserve">£2.9m INEA grant against IT capex. £1.99m for airport city limited partnership in a grant towards the bridge that is currently under construction on the development site. £164k - SESAR- Single European Sky Air Traffic Management Research Joint Undertaking (SESAR joint undertaking), a partnership between the EU and numerous private companies to enhance air traffic management throughout Europe. The grant was provided to enhance our air traffic management systems. </t>
  </si>
  <si>
    <t>£400k  INEA grant</t>
  </si>
  <si>
    <t>• Awards</t>
  </si>
  <si>
    <t>• Royalty holidays</t>
  </si>
  <si>
    <t>• Financial assistance from Export Credit Agencies (ECAs)</t>
  </si>
  <si>
    <t>• Financial incentives</t>
  </si>
  <si>
    <t>• Other financial benefits received or receivable from any government for any operation</t>
  </si>
  <si>
    <t>AGOSS £17.8m (2021:£19.5m) and CJRS £18.2m  (2021: £58.9m)</t>
  </si>
  <si>
    <t>b. Report the information above by country.</t>
  </si>
  <si>
    <t>As previous</t>
  </si>
  <si>
    <t xml:space="preserve">As previous </t>
  </si>
  <si>
    <t>UK</t>
  </si>
  <si>
    <t>c. Report whether, and the extent to which, the government is present in the shareholding structure.</t>
  </si>
  <si>
    <t>MAG’s shareholders comprise Manchester City Council (35.5%), IFM Investors (35.5%)and the nine other Greater Manchester local authorities (29%).</t>
  </si>
  <si>
    <t xml:space="preserve">GRI 202-1 </t>
  </si>
  <si>
    <t>Ratios of standard entry level wage by gender compared to local minimum wage at significant locations of operation.</t>
  </si>
  <si>
    <t>Salary Ratio by Employee Category (Based on Average Salaries per Band per hour)</t>
  </si>
  <si>
    <t>To calculate the range of ratios of standard entry level wage by gender compared to local minimum wage, we used data for all staff within tiers with an average salary that meet or are below the national average salary* of £29,685. No Employee of MAG is paid below the national minimum wage. The significant location is the group.</t>
  </si>
  <si>
    <t>All Colleagues in Tiers 5 - 7 (Levels from CEO)</t>
  </si>
  <si>
    <t>Tier 7</t>
  </si>
  <si>
    <t>Total Number of Colleagues</t>
  </si>
  <si>
    <t>Number of Full Time Employees</t>
  </si>
  <si>
    <t>Number of Part Time Employees</t>
  </si>
  <si>
    <t>Number of Casual Employees</t>
  </si>
  <si>
    <t>Average Salary</t>
  </si>
  <si>
    <t>Average Hourly Rate</t>
  </si>
  <si>
    <t>Ratio</t>
  </si>
  <si>
    <t>Male</t>
  </si>
  <si>
    <t>Not reported</t>
  </si>
  <si>
    <t>Female</t>
  </si>
  <si>
    <t>Tier 6</t>
  </si>
  <si>
    <t>Tier 5</t>
  </si>
  <si>
    <t>Breakdown by National Minimum Wage Groups</t>
  </si>
  <si>
    <t>Under 18 Years of Age</t>
  </si>
  <si>
    <t>Number of Colleagues</t>
  </si>
  <si>
    <t>National Minimum Wage</t>
  </si>
  <si>
    <t>% Average Salary vs Minimum Wage</t>
  </si>
  <si>
    <t>1.00:2.2</t>
  </si>
  <si>
    <t>18 - 20 Years of Age</t>
  </si>
  <si>
    <t>1.00:1.53</t>
  </si>
  <si>
    <t>1.00:1.6</t>
  </si>
  <si>
    <t>21 - 24 Years of Age</t>
  </si>
  <si>
    <t>21 - 22 Years of Age</t>
  </si>
  <si>
    <t>21 or over (NMW)</t>
  </si>
  <si>
    <t>1.00:1.3</t>
  </si>
  <si>
    <t>Aged 25 or Over - National Living Wage</t>
  </si>
  <si>
    <t>Aged 23 or Over - National Living Wage</t>
  </si>
  <si>
    <t>1.00:1.8</t>
  </si>
  <si>
    <t xml:space="preserve">GRI 204-1 </t>
  </si>
  <si>
    <t>Local Suppliers</t>
  </si>
  <si>
    <t>East Midlands Airport</t>
  </si>
  <si>
    <t xml:space="preserve">Total number of suppliers </t>
  </si>
  <si>
    <t>Number of local suppliers (within 25 miles of airports) businesses.</t>
  </si>
  <si>
    <t>% of local suppliers (within 25 miles of airports) businesses.</t>
  </si>
  <si>
    <t>London Stansted Airport</t>
  </si>
  <si>
    <t>Manchester Airport</t>
  </si>
  <si>
    <t>Number of local suppliers (within 25 miles).</t>
  </si>
  <si>
    <t>% number of local suppliers (within 25 miles).</t>
  </si>
  <si>
    <t>CAVU</t>
  </si>
  <si>
    <t>Number of  local suppliers (within 25 miles of airports).</t>
  </si>
  <si>
    <t>% number of  local suppliers (within 25 miles of airports).</t>
  </si>
  <si>
    <t>Number of  local suppliers (within 25 miles of airports) businesses.</t>
  </si>
  <si>
    <t>Report the percentage of the procurement budget used for significant locations of operation spent on local suppliers to that operation.</t>
  </si>
  <si>
    <t xml:space="preserve">Description of Supply Chain </t>
  </si>
  <si>
    <t xml:space="preserve">MAG cannot by law favour local suppliers. Under UCR regulations (OJEU) it would be a breach of UK and European contract law to do so as we are classed as a public utility and therefore captured under OJEU legislation. To specifically favour local contractors would be discriminatory under this legislation and leave us open to substantial fines and legal action by the European commission. On the other hand, we have robust evaluation procedures which we monitor contractors against and actively encourage contribution through contracting at regional level. </t>
  </si>
  <si>
    <t xml:space="preserve">MAG cannot by law favour local suppliers. Under the Public Procurement Amendment 2020 (PPAR), Utilities Contract Regulations (UCR) it would be a breach of UK contract law to do so as we are classed as a Utility and therefore captured under UK directives legislation. To specifically favour local contractors would be discriminatory under this legislation and leave us open to substantial fines and legal action. On the other hand, we have robust evaluation procedures which we monitor contractors against and actively encourage contribution through contracting at regional level. </t>
  </si>
  <si>
    <t xml:space="preserve">MAG cannot by law stipulate criteria for suppliers based on size or locality due to required compliance with the Utilities Contracts Regulations 2016 which requires fair and open competition with all contracts advertised over published thresholds for goods, works and services. We do however, encourage local and SME engagement for smaller contracts, or via “tiering” into our main appointed contractors. We  held two “Meet the Buyer” events in FY23, where local SME’s can make appointments to discuss business opportunities with our Tier 1 contractors, to encourage regional proximity for subcontracted work. </t>
  </si>
  <si>
    <t>MAG cannot by law stipulate criteria for suppliers based on size or locality due to required compliance with the Utilities Contracts Regulations 2016 which requires fair and open competition with all contracts advertised over published thresholds for goods, works and services. We do however, encourage local and SME engagement for smaller contracts, or via “tiering” into our main appointed contractors. We held three “Meet the Buyer” events in FY24, one at each airport for each airport locality. At these events local SME’s can make appointments to discuss business opportunities with our Tier 1 contractors, to encourage regional proximity for subcontracted work.</t>
  </si>
  <si>
    <t>MAG cannot by law stipulate criteria for suppliers based on size or locality due to required compliance with the Procurement Act 2023 which requires fair and open competition with all contracts advertised over published thresholds for goods, works and services. We do however, encourage local and SME engagement for smaller contracts, or via “tiering” into our main appointed contractors. We held two “Meet the Buyer” events in FY25, one at Stansted airport and one at Manchester airport. At these events local SME’s can make appointments to discuss business opportunities with our Tier 1 contractors, to encourage regional proximity for subcontracted work.</t>
  </si>
  <si>
    <t>205-1</t>
  </si>
  <si>
    <t>Operations assessed for risks related to corruption</t>
  </si>
  <si>
    <t>Number</t>
  </si>
  <si>
    <t>%</t>
  </si>
  <si>
    <t>Total number and percentage of operations assessed for risks related to corruption</t>
  </si>
  <si>
    <t>Significant risks related to corruption identified through the risk assessment.</t>
  </si>
  <si>
    <t xml:space="preserve">GRI 207 </t>
  </si>
  <si>
    <t>Tax</t>
  </si>
  <si>
    <t>2018/2019</t>
  </si>
  <si>
    <t>2019/2020</t>
  </si>
  <si>
    <t>2020/2021</t>
  </si>
  <si>
    <t>207-1</t>
  </si>
  <si>
    <t>Tax
Approach to tax</t>
  </si>
  <si>
    <t>The reporting organization shall report the following information:
a. A description of the approach to tax, including:</t>
  </si>
  <si>
    <t>i. whether the organization has a tax strategy and, if so, a link to this strategy if publicly available;</t>
  </si>
  <si>
    <t>Please follow this link to access our Tax Strategy</t>
  </si>
  <si>
    <t>Please follow this link to access our tax strategy</t>
  </si>
  <si>
    <t>ii. the governance body or executive-level position within the organization that formally reviews and approves the tax strategy, and the frequency of this review;</t>
  </si>
  <si>
    <t>Board</t>
  </si>
  <si>
    <t>Board, and the Tax Strategy is reviewed annually.</t>
  </si>
  <si>
    <t>iii. the approach to regulatory compliance;</t>
  </si>
  <si>
    <t>See Tax Strategy, Section 1</t>
  </si>
  <si>
    <t>See Tax Strategy, section 1</t>
  </si>
  <si>
    <t>iv. how the approach to tax is linked to the business and sustainable development strategies of the organization.</t>
  </si>
  <si>
    <t>See Tax Strategy, Section 2</t>
  </si>
  <si>
    <t>See Tax Strategy, section 2</t>
  </si>
  <si>
    <t>207-2</t>
  </si>
  <si>
    <t>Tax
Tax governance, control, and risk management</t>
  </si>
  <si>
    <t>The reporting organization shall report the following information:
a. A description of the tax governance and control framework, including:</t>
  </si>
  <si>
    <t>i. the governance body or executive-level position within the organization accountable for compliance with the tax strategy;</t>
  </si>
  <si>
    <t>See Tax Strategy, Section 3.</t>
  </si>
  <si>
    <t>See Tax Strategy, section 3</t>
  </si>
  <si>
    <t>Ii. how the approach to tax is embedded within the organization;</t>
  </si>
  <si>
    <t>See above section - details the monitoring process and how we communicate these with the rest of the business</t>
  </si>
  <si>
    <t>iii. the approach to tax risks, including how risks are identified, managed, and monitored;</t>
  </si>
  <si>
    <t>iv. how compliance with the tax governance and control framework is evaluated.</t>
  </si>
  <si>
    <t>We have an annual review by Deloitte, whereby they review and evaluate our risk management processes and our ongoing tax risk and controls matrix. This part of our wider 'senior accounting officer' process.</t>
  </si>
  <si>
    <t>b. A description of the mechanisms for reporting concerns about unethical or unlawful behaviour and the organization’s integrity in relation to tax.</t>
  </si>
  <si>
    <t>See Tax Strategy, Sections 1, 2 and 3.</t>
  </si>
  <si>
    <t>c. A description of the assurance process for disclosures on tax and, if applicable, a reference to the assurance report, statement, or opinion.</t>
  </si>
  <si>
    <t>The disclosures on tax within MAG's statutory accounts are audited by KPMG's specialist tax audit team each period. The disclosures are prepared by the group tax manager and reviewed by the director of tax before KPMG review the disclosures.</t>
  </si>
  <si>
    <t>The disclosures on tax within MAG's statutory accounts are audited by EY's specialist tax audit team each period. The disclosures are prepared by the group tax manager and reviewed by the director of tax before EY review the disclosures.</t>
  </si>
  <si>
    <t>207-3</t>
  </si>
  <si>
    <t>Tax
Stakeholder engagement and management of concerns related to tax</t>
  </si>
  <si>
    <t>The reporting organization shall report the following information:
a. A description of the approach to stakeholder engagement and management of stakeholder concerns related to tax, including:</t>
  </si>
  <si>
    <t>i. the approach to engagement with tax authorities;</t>
  </si>
  <si>
    <t>See Tax Strategy, Section 4.</t>
  </si>
  <si>
    <t>ii. the approach to public policy advocacy on tax;</t>
  </si>
  <si>
    <t>Where necessary, MAG seeks advice to understand the tax impacts on MAG in relation to any government public policy announcements.</t>
  </si>
  <si>
    <t>iii. the processes for collecting and considering the views and concerns of stakeholders, including external stakeholders.</t>
  </si>
  <si>
    <t>207-4</t>
  </si>
  <si>
    <t>Tax
Country-by-country reporting</t>
  </si>
  <si>
    <t>The reporting organization shall report the following information:
a. All tax jurisdictions where the entities included in the organization’s audited consolidated financial statements, or in the financial information filed on public record, are resident for tax purposes.</t>
  </si>
  <si>
    <t>United Kingdom &amp; United States of America</t>
  </si>
  <si>
    <t>United Kingdom, United States of America, The Netherlands &amp; Australia</t>
  </si>
  <si>
    <t>b. For each tax jurisdiction reported in Disclosure 207-4</t>
  </si>
  <si>
    <t>i. Names of resident entities;</t>
  </si>
  <si>
    <t>Manchester Airports Holdings Limited</t>
  </si>
  <si>
    <t>ii. Primary activities of the organization;</t>
  </si>
  <si>
    <t>Airport Owner/Operator</t>
  </si>
  <si>
    <t>iii. Number of employees, and the basis of calculation of this number;</t>
  </si>
  <si>
    <t>5,495 = average number of persons employed by the company (note 5 of the statutory accounts)</t>
  </si>
  <si>
    <t xml:space="preserve">5,043 = average number of persons employed by the company </t>
  </si>
  <si>
    <t>Iv. Revenues from third-party sales;</t>
  </si>
  <si>
    <t>£187,100,000 (note 2 of the statutory accounts)</t>
  </si>
  <si>
    <t>1,029m</t>
  </si>
  <si>
    <t>1,238m</t>
  </si>
  <si>
    <t>1,342.5m</t>
  </si>
  <si>
    <t>v. Revenues from intra-group transactions with other tax jurisdictions;</t>
  </si>
  <si>
    <t>All nets to £nil within our statutory accounts as all entities are consolidated into Manchester Airport Holdings Limited.</t>
  </si>
  <si>
    <t>vi. Profit/loss before tax;</t>
  </si>
  <si>
    <t>Loss of £477,600,000 (income statement in statutory accounts)</t>
  </si>
  <si>
    <t>loss of £273,000,000</t>
  </si>
  <si>
    <t>(197.4m) - loss before tax</t>
  </si>
  <si>
    <t>49.7m- profit before tax</t>
  </si>
  <si>
    <t>60.7m - profit before tax.</t>
  </si>
  <si>
    <t>vii. Tangible assets other than cash and cash equivalents;</t>
  </si>
  <si>
    <t>£3,476,000,000 (per statement of financial position in the statutory accounts)</t>
  </si>
  <si>
    <t>3341000000 (per statement of financial position in the statutory accounts)</t>
  </si>
  <si>
    <t>3,266m</t>
  </si>
  <si>
    <t>3,362m</t>
  </si>
  <si>
    <t>3,810m</t>
  </si>
  <si>
    <t>viii. Corporate income tax paid on a cash basis;</t>
  </si>
  <si>
    <t>£0 in UK, $587,650.85 in USA</t>
  </si>
  <si>
    <t>32.1m</t>
  </si>
  <si>
    <t>50.1m</t>
  </si>
  <si>
    <t>61.4m</t>
  </si>
  <si>
    <t>ix. Corporate income tax accrued on profit/loss;</t>
  </si>
  <si>
    <t xml:space="preserve">£42,400,000 credit </t>
  </si>
  <si>
    <t>33.2m credit</t>
  </si>
  <si>
    <t>46.5m</t>
  </si>
  <si>
    <t>49.2m</t>
  </si>
  <si>
    <t>x. Reasons for the difference between corporate income tax accrued on profit/loss and the tax due if the statutory tax rate is applied to profit/loss before tax.</t>
  </si>
  <si>
    <t>Loss carry back claim for FY20 (carried back FY21 loss to FY20 due to covid). Other main difference is non-deductible shareholder loan interest.</t>
  </si>
  <si>
    <t>Difference is driven by non-deductible pension and shareholder loan amounts</t>
  </si>
  <si>
    <t>Difference is largely driven by non-deductible shareholder loan amounts &amp; depreciation in excess of capital allowances.</t>
  </si>
  <si>
    <t>c. The time period covered by the information reported in Disclosure 207-4.</t>
  </si>
  <si>
    <t>Year to 31 March 2021</t>
  </si>
  <si>
    <t>Year to 31 March 2022</t>
  </si>
  <si>
    <t>Year to 31 March 2023</t>
  </si>
  <si>
    <t>Year to 31 March 2024</t>
  </si>
  <si>
    <t>Year to 31 March 2025</t>
  </si>
  <si>
    <t>GRI 304-1, 2, 3, 4</t>
  </si>
  <si>
    <t>Land &amp; Biodiversity</t>
  </si>
  <si>
    <t>Financial Years</t>
  </si>
  <si>
    <t>Area of operational area under management (ha)</t>
  </si>
  <si>
    <t>Stansted</t>
  </si>
  <si>
    <t xml:space="preserve">Total </t>
  </si>
  <si>
    <t xml:space="preserve">Number and length of runway </t>
  </si>
  <si>
    <t>Runway 27 - 09 (2,893m)</t>
  </si>
  <si>
    <t>Number and length of runway</t>
  </si>
  <si>
    <t>Runway 23R - 05L (3,048m) Runway 23L - 05R 3,048m)</t>
  </si>
  <si>
    <t>Runway 22 - 04 (3,048m)</t>
  </si>
  <si>
    <t>Environmental -Biodiversity</t>
  </si>
  <si>
    <t>304-1 : Operational sites owned, leased, managed in, or adjacent to, protected areas and areas of high biodiversity value outside protected areas</t>
  </si>
  <si>
    <t>London Sransted</t>
  </si>
  <si>
    <t>The reporting organization shall report the following information:
a. For each operational site owned, leased, managed in, or adjacent to, protected areas and areas of high biodiversity value outside protected areas, the following informationi.
        i. Geographic location;</t>
  </si>
  <si>
    <t>Cotteril Clough SSSI (OS Grid Ref: SJ 808 840)</t>
  </si>
  <si>
    <t>Elensham Woods (Eastend Wood) SSSI (OS Grid Ref: TL  561 252)</t>
  </si>
  <si>
    <t>ii. Subsurface and underground land that may be owned, leased, or managed by the organization;</t>
  </si>
  <si>
    <t xml:space="preserve"> Cotteril Clough - Leased</t>
  </si>
  <si>
    <t xml:space="preserve">Elsenham Woods - Owned. 
</t>
  </si>
  <si>
    <t>Cotteril Clough - Leased</t>
  </si>
  <si>
    <t>iii. Position in relation to the protected area (in the area, adjacent to, or containing portions of the protected area) or the high biodiversity value area outside protected areas;</t>
  </si>
  <si>
    <t>Cotteril Clough - Adjacent</t>
  </si>
  <si>
    <t xml:space="preserve">Elsenham Woods - Adjacent 
</t>
  </si>
  <si>
    <t>iv. Type of operation (office, manufacturing or production, or extractive);</t>
  </si>
  <si>
    <t>Cotteril Clough - adjacent use, Manchester Airport</t>
  </si>
  <si>
    <t xml:space="preserve">Elsenham Woods - adjacent use, Stansted Airport 
</t>
  </si>
  <si>
    <t>v. Size of operational site in km2 (or another unit, if appropriate);</t>
  </si>
  <si>
    <t>Cotteril Clough - area of SSSI 3.39ha</t>
  </si>
  <si>
    <t xml:space="preserve">Elsenham Woods - area of SSSI 39.97ha 
</t>
  </si>
  <si>
    <t>vi. Biodiversity value characterized by the attribute of the protected area or area of high biodiversity value outside the protected area (terrestrial, freshwater, or maritime ecosystem);</t>
  </si>
  <si>
    <t>Cotteril Clough - broadleaved, mixed and yew woodland - Lowland</t>
  </si>
  <si>
    <t xml:space="preserve">Elsenham Woods - broadleaved, mixed and yew woodland - Lowland 
</t>
  </si>
  <si>
    <t>vii. Biodiversity value characterized by listing of protected status (such as IUCN Protected Area Management Categories, Ramsar Convention, national legislation).</t>
  </si>
  <si>
    <t>Cotteril Clough - Site of Special Scientific Interest - Wildlife and Countryside Act 1981 (amended 1985) and Countryside and Rights of Way Act 2000</t>
  </si>
  <si>
    <t xml:space="preserve">Elsenham Woods - Site of Special Scientific Interest (SSSI) - Wildlife and Countryside Act 1981 (amended 1985) and Countryside and Rights of Way Act 2000 
</t>
  </si>
  <si>
    <t>304-2  : Significant impacts of activities, products, and services on biodiversity</t>
  </si>
  <si>
    <t>The reporting organization shall report the following information:
a. Nature of significant direct and indirect impacts on biodiversity with reference to one or more of the following:
        i. Construction or use of manufacturing plants, mines, and transport infrastructure;</t>
  </si>
  <si>
    <t>Cotteril Clough SSSI - Adjacent Manchester Airport</t>
  </si>
  <si>
    <t xml:space="preserve">Elsenham Woods SSSI - Adjacent Stansted Airport 
</t>
  </si>
  <si>
    <t>ii. Pollution (introduction of substances that do not naturally occur in the habitat from point and non-point sources);</t>
  </si>
  <si>
    <r>
      <t>Cotteril Clough SSSI - quality of storm water (GRI A01), air quality, NO</t>
    </r>
    <r>
      <rPr>
        <vertAlign val="subscript"/>
        <sz val="10"/>
        <color theme="1"/>
        <rFont val="Futura Lt BT"/>
        <family val="2"/>
      </rPr>
      <t>2</t>
    </r>
    <r>
      <rPr>
        <sz val="10"/>
        <color theme="1"/>
        <rFont val="Futura Lt BT"/>
        <family val="2"/>
      </rPr>
      <t>, PM</t>
    </r>
    <r>
      <rPr>
        <vertAlign val="subscript"/>
        <sz val="10"/>
        <color theme="1"/>
        <rFont val="Futura Lt BT"/>
        <family val="2"/>
      </rPr>
      <t>10</t>
    </r>
    <r>
      <rPr>
        <sz val="10"/>
        <color theme="1"/>
        <rFont val="Futura Lt BT"/>
        <family val="2"/>
      </rPr>
      <t>, O</t>
    </r>
    <r>
      <rPr>
        <vertAlign val="subscript"/>
        <sz val="10"/>
        <color theme="1"/>
        <rFont val="Futura Lt BT"/>
        <family val="2"/>
      </rPr>
      <t>3</t>
    </r>
    <r>
      <rPr>
        <sz val="10"/>
        <color theme="1"/>
        <rFont val="Futura Lt BT"/>
        <family val="2"/>
      </rPr>
      <t xml:space="preserve"> (GRI A05)</t>
    </r>
  </si>
  <si>
    <r>
      <t>Elsenham Woods SSSI - quality of storm water (GRI A01), air quality, NO</t>
    </r>
    <r>
      <rPr>
        <vertAlign val="subscript"/>
        <sz val="10"/>
        <color theme="1"/>
        <rFont val="Futura Lt BT"/>
        <family val="2"/>
      </rPr>
      <t>2</t>
    </r>
    <r>
      <rPr>
        <sz val="10"/>
        <color theme="1"/>
        <rFont val="Futura Lt BT"/>
        <family val="2"/>
      </rPr>
      <t>,PM</t>
    </r>
    <r>
      <rPr>
        <vertAlign val="subscript"/>
        <sz val="10"/>
        <color theme="1"/>
        <rFont val="Futura Lt BT"/>
        <family val="2"/>
      </rPr>
      <t>10</t>
    </r>
    <r>
      <rPr>
        <sz val="10"/>
        <color theme="1"/>
        <rFont val="Futura Lt BT"/>
        <family val="2"/>
      </rPr>
      <t>, O</t>
    </r>
    <r>
      <rPr>
        <vertAlign val="subscript"/>
        <sz val="10"/>
        <color theme="1"/>
        <rFont val="Futura Lt BT"/>
        <family val="2"/>
      </rPr>
      <t>3</t>
    </r>
    <r>
      <rPr>
        <sz val="10"/>
        <color theme="1"/>
        <rFont val="Futura Lt BT"/>
        <family val="2"/>
      </rPr>
      <t xml:space="preserve"> (GRI A05)</t>
    </r>
  </si>
  <si>
    <t>iii. Introduction of invasive species, pests, and pathogens;</t>
  </si>
  <si>
    <t>Cotteril Clough SSSI n/a</t>
  </si>
  <si>
    <t xml:space="preserve">Elsenham Woods SSSI - n/a 
</t>
  </si>
  <si>
    <t>iv. Reduction of species;</t>
  </si>
  <si>
    <t xml:space="preserve">Elsenham Woods SSSI - management of native deer population to protect flora and habitat. </t>
  </si>
  <si>
    <t>v. Habitat conversion;</t>
  </si>
  <si>
    <t xml:space="preserve">Elsenham Woods SSSI - n/a </t>
  </si>
  <si>
    <t xml:space="preserve">vi. Changes in ecological processes outside the natural range of variation (such as salinity or changes in groundwater level).
</t>
  </si>
  <si>
    <t>Cotteril Clough SSSI - changes in surface water runoff volume</t>
  </si>
  <si>
    <t>Elsenham Woods SSSI - n/a</t>
  </si>
  <si>
    <t>b. Significant direct and indirect positive and negative impacts with reference to the following:
        i. Species affected;</t>
  </si>
  <si>
    <t>Cotteril Clough SSSI - negative</t>
  </si>
  <si>
    <t>Elsenham Woods SSSI - negative</t>
  </si>
  <si>
    <t>Cotteril Clough SSSI - negative (snowberries/ash dieback)</t>
  </si>
  <si>
    <t>ii. Extent of areas impacted;</t>
  </si>
  <si>
    <t>Cotteril Clough SSSI 3.39ha</t>
  </si>
  <si>
    <t xml:space="preserve">Elsenham Woods SSSI - 39.97ha </t>
  </si>
  <si>
    <t>iii. Duration of impacts;</t>
  </si>
  <si>
    <t>Cotteril Clough SSSI - Continuous</t>
  </si>
  <si>
    <t xml:space="preserve">Elsenham Woods SSSI - Continuous </t>
  </si>
  <si>
    <t>iv. Reversibility or irreversibility of the impacts.</t>
  </si>
  <si>
    <t>Cotteril Clough SSSI - Reversable</t>
  </si>
  <si>
    <t>Elsenham Woods SSSI - Reversable</t>
  </si>
  <si>
    <t>304-3 : Habitats protected or restored</t>
  </si>
  <si>
    <t>The reporting organization shall report the following information:
a. Size and location of all habitat areas protected or restored, and whether the success of the restoration measure was or is approved by independent external professionals.</t>
  </si>
  <si>
    <t>Elsenham Woods SSSI - 39.97ha of managed woodland management overseen by independent professional ecologists (Penny Anderson Associates)</t>
  </si>
  <si>
    <t>b. Whether partnerships exist with third parties to protect or restore habitat areas distinct from where the organization has overseen and implemented restoration or protection measures.</t>
  </si>
  <si>
    <t>Elsenham Woods SSSI - Partnerships with Natural England (condition and management) and Natural England / Forestry Commission (Countryside Stewardship Scheme)</t>
  </si>
  <si>
    <t>c. Status of each area based on its condition at the close of the reporting period.</t>
  </si>
  <si>
    <t>Cotteril Clough SSSI - Condition Favourable (Natural England 14/08/20)</t>
  </si>
  <si>
    <t>Elsenham Woods SSSI - Condition Favourable (Natural England 17/0116)</t>
  </si>
  <si>
    <t>Cotteril Clough SSSI - Condition Favourable (Natural England 01/03/2024)</t>
  </si>
  <si>
    <t>Elsenham Woods SSSI - Condition Favourable (Natural England 17/01/16)</t>
  </si>
  <si>
    <t>d. Standards, methodologies, and assumptions used.</t>
  </si>
  <si>
    <t>Cotteril Clough SSSI - Natural England Assessment (https://designatedsites.naturalengland.org.uk/UnitDetail.aspx?UnitId=1011471)</t>
  </si>
  <si>
    <t xml:space="preserve">Elsenham Woods SSSI - Natural England Assessment (https://designatedsites.naturalengland.org.uk/UnitDetail.aspx?UnitId=10050860) </t>
  </si>
  <si>
    <t>304-4 : IUCN Red List species and national conservation list species with habitats in areas affected by operations</t>
  </si>
  <si>
    <t>The reporting organization shall report the following information:
a. Total number of IUCN Red List species and national conservation list species with habitats in areas affected by the operations of the organization, by level of extinction
     i. Critically endangered</t>
  </si>
  <si>
    <t>Not Available</t>
  </si>
  <si>
    <t>ii. Endangered</t>
  </si>
  <si>
    <t>iii. Vulnerable</t>
  </si>
  <si>
    <t>iv. Near threatened</t>
  </si>
  <si>
    <t>v. Least concern</t>
  </si>
  <si>
    <t>GRI 302-1, 22 - Emissions</t>
  </si>
  <si>
    <t>MAG (total)</t>
  </si>
  <si>
    <t>EMA</t>
  </si>
  <si>
    <t>MAN</t>
  </si>
  <si>
    <t>STN</t>
  </si>
  <si>
    <t>Scope</t>
  </si>
  <si>
    <t>Activity</t>
  </si>
  <si>
    <t>Fuel/emission source</t>
  </si>
  <si>
    <t>Energy consumption 
(kWh)</t>
  </si>
  <si>
    <t>Location-based emissions 
(tCO2e)</t>
  </si>
  <si>
    <t>Market-based emissions 
(tCO2e)</t>
  </si>
  <si>
    <t>Location-based emissions (tCO2e)</t>
  </si>
  <si>
    <t>Market-based emissions (tCO2e)</t>
  </si>
  <si>
    <t>Stationary combustion</t>
  </si>
  <si>
    <t>Gas (incl. market-based RGGOs)</t>
  </si>
  <si>
    <t>Liquefied petroleoum gas</t>
  </si>
  <si>
    <t>Heating oil</t>
  </si>
  <si>
    <t xml:space="preserve"> -   </t>
  </si>
  <si>
    <t xml:space="preserve">Biomass (fire training) </t>
  </si>
  <si>
    <t xml:space="preserve">Gas oil (fire training) </t>
  </si>
  <si>
    <t>Petrol (fire training)</t>
  </si>
  <si>
    <t>Power back-up (diesel)</t>
  </si>
  <si>
    <t>Kerosene (fire training)</t>
  </si>
  <si>
    <t>Mobile combustion</t>
  </si>
  <si>
    <t>Diesel</t>
  </si>
  <si>
    <t>Gas oil</t>
  </si>
  <si>
    <t>Petrol</t>
  </si>
  <si>
    <t>Company cars</t>
  </si>
  <si>
    <t>Fugitive emissions</t>
  </si>
  <si>
    <t>Airfield de-icer</t>
  </si>
  <si>
    <t xml:space="preserve">  </t>
  </si>
  <si>
    <t>Refrigerants</t>
  </si>
  <si>
    <t>Total gross scope 1</t>
  </si>
  <si>
    <t>Generation of renewable electricity on site</t>
  </si>
  <si>
    <t>Wind generated electricity</t>
  </si>
  <si>
    <t>Consumption of purchased electricity, heat, steam and cooling</t>
  </si>
  <si>
    <t>Consumption of purchased electricity</t>
  </si>
  <si>
    <t>Total gross scope 2</t>
  </si>
  <si>
    <t>1 &amp; 2</t>
  </si>
  <si>
    <t xml:space="preserve">Energy from renewable sources </t>
  </si>
  <si>
    <t>Total gross scopes 1 &amp; 2</t>
  </si>
  <si>
    <t xml:space="preserve">Market-based mechanisms </t>
  </si>
  <si>
    <t>Purchase &amp; retirement ​of carbon offsets to maintain Scope 1 &amp; 2 carbon neutrality (in accordance with ACA Level 3+)​</t>
  </si>
  <si>
    <t>Renewable Gas Guarantees of Origin (RGGOs)</t>
  </si>
  <si>
    <t>Total market-based mechanisms</t>
  </si>
  <si>
    <t>Category 1: Purchased goods and services</t>
  </si>
  <si>
    <t>Water</t>
  </si>
  <si>
    <t>Category 3: Fuel and energy-related activities ​
(not in scope 1 or 2)</t>
  </si>
  <si>
    <t>Fuels procured (well-to-tank)</t>
  </si>
  <si>
    <t>Electricity (transportation and distribution losses)</t>
  </si>
  <si>
    <t>Electricity and heat (well-to-tank)</t>
  </si>
  <si>
    <t>Category 5: Waste generated in operations</t>
  </si>
  <si>
    <t>Waste</t>
  </si>
  <si>
    <t>Wastewater</t>
  </si>
  <si>
    <t>Category 6: Business Travel</t>
  </si>
  <si>
    <t>Business travel - public transport</t>
  </si>
  <si>
    <t>Business travel - grey fleet</t>
  </si>
  <si>
    <t>Category 7: Employee Commuting</t>
  </si>
  <si>
    <t>Home working</t>
  </si>
  <si>
    <t>MAG staff commuting</t>
  </si>
  <si>
    <t>Category 11: Use of sold products</t>
  </si>
  <si>
    <t>non-MAG staff commuting</t>
  </si>
  <si>
    <t>Passenger surface access</t>
  </si>
  <si>
    <t>LTO Cycle (departing flights)</t>
  </si>
  <si>
    <t>LTO Cycle (arriving flights)</t>
  </si>
  <si>
    <t>Departing flights (excl. LTO emissions reported above)</t>
  </si>
  <si>
    <t>On stand (FEGP)</t>
  </si>
  <si>
    <t>On stand (APU)</t>
  </si>
  <si>
    <t xml:space="preserve">Aircraft engine testing </t>
  </si>
  <si>
    <t>Airside vehicles</t>
  </si>
  <si>
    <t>Aircraft de-icer</t>
  </si>
  <si>
    <t>Diesel (onward supply)</t>
  </si>
  <si>
    <t>Water (onward supply)</t>
  </si>
  <si>
    <t>Onward supply sewage</t>
  </si>
  <si>
    <r>
      <t xml:space="preserve">Category 13: Downstream leased assets </t>
    </r>
    <r>
      <rPr>
        <sz val="7.95"/>
        <color rgb="FF004F53"/>
        <rFont val="Inter"/>
      </rPr>
      <t>​</t>
    </r>
  </si>
  <si>
    <t>Gas</t>
  </si>
  <si>
    <t>Electricity</t>
  </si>
  <si>
    <t>Total gross scope 3</t>
  </si>
  <si>
    <t>Purchase &amp; retirement of carbon offsets to cover business travel emissions to maintain carbon neutrality (in accordance with ACA Level 3+)</t>
  </si>
  <si>
    <t>Total gross scope 1, 2 &amp; 3</t>
  </si>
  <si>
    <t>Intensity benchmark</t>
  </si>
  <si>
    <t>Total traffic units (TU)</t>
  </si>
  <si>
    <t>Scopes 1 &amp; 2 Gross Emissions/TU</t>
  </si>
  <si>
    <t>1, 2 &amp; 3</t>
  </si>
  <si>
    <t>Scopes 1, 2 &amp; 3 Gross Emissions/TU</t>
  </si>
  <si>
    <t xml:space="preserve">GRI 305-4 </t>
  </si>
  <si>
    <t>GHG Emissions Intensity (SECR)</t>
  </si>
  <si>
    <t>Energy consumption used to calculate emissions 
(kWh)</t>
  </si>
  <si>
    <t>Emissions from combustion of gas [2]
(Scope 1, market-based tCO2e)</t>
  </si>
  <si>
    <t>Emissions from combustion of fuel for transport purposes 
(Scope 1, tCO2e)</t>
  </si>
  <si>
    <t>Emissions from business travel in rental cars or employee-owned vehicles where MAG is responsible for purchasing the fuel 
(Scope 3, tCO2e)</t>
  </si>
  <si>
    <t>Emissions from purchased electricity [2]
(Scope 2, location-based, tCO2e)</t>
  </si>
  <si>
    <t>Emissions from purchased electricity [2]
(Scope 2, market-based, tCO2e)</t>
  </si>
  <si>
    <t>Total gross emissions based on the above 
(Location-based, tCO2e) [1]</t>
  </si>
  <si>
    <t>Total gross emissions based on the above 
(Market-based, tCO2e) [1]</t>
  </si>
  <si>
    <t>Intensity measure [3]
(Traffic units)</t>
  </si>
  <si>
    <t>Intensity ratio
(Location-based emissions, tCO2e /traffic unit)</t>
  </si>
  <si>
    <t>Intensity ratio
(Market-based emissions, tCO2e /traffic unit) [4]</t>
  </si>
  <si>
    <t>Carbon offsets
(purchased and retired, tCO2e) [6]</t>
  </si>
  <si>
    <t xml:space="preserve">[1] Our energy and emission performance have been restated for 2023/24 to make use of the most recent and complete dataset. This approach follows best practice outlined in the World Resources Institute Greenhouse Gas Protocol and guidance issued by the UK Government. In accordance with the Airport Carbon Accreditation Application Manual 14, we have also included new emission categories to include refrigerants and airfield de-icer emissions. </t>
  </si>
  <si>
    <t>[2] Location-based emissions are based on the average emission intensity of UK energy netwoks. MAG proactively chooses to purchase renewable electricity and green gas which are backed by Renewable Energy Guarantees of Origin and Renewable Gas Guarantees of Origin. To demonstrate the carbon saving of our procurement decision we ‘dual report’ our location and market-based greenhouse gas emissions.</t>
  </si>
  <si>
    <t>[3] We measure carbon intensity against traffic units, which are defined by the International Civil Aviation Organization (ICAO) as equivalent to 1,000 passengers or 100 tonnes of freight.</t>
  </si>
  <si>
    <t>[4] SECR scope 1, 2 and 3 greenhouse gas emissions are defined in our latest emissions report, which can be found here: https://www.magairports.com/work-with-us/corporate-social-responsibility-reports/. This SECR data has been independently verified by TÜV NORD CERT GmbH</t>
  </si>
  <si>
    <t>[5] Additional measures to improve energy efficiency will be discussed in our latest Sustainability Report that will be published in Autumn 2025. Previous Sustainability Reports can be found here: https://www.magairports.com/work-with-us/corporate-social-responsibility-reports/</t>
  </si>
  <si>
    <t>[6] The table above shows the SECR Scope. Our offsets are in alignment with ACA which includes a wider scope. More information can be found in our emissions report.</t>
  </si>
  <si>
    <t>Surface access</t>
  </si>
  <si>
    <t>2018-19</t>
  </si>
  <si>
    <t>2019-20</t>
  </si>
  <si>
    <t>2020-21</t>
  </si>
  <si>
    <t>2021-22</t>
  </si>
  <si>
    <t>2022-23</t>
  </si>
  <si>
    <t>2023-24</t>
  </si>
  <si>
    <t>Passengers</t>
  </si>
  <si>
    <t>Passenger surface access emissions (tCO2e)</t>
  </si>
  <si>
    <t>Passenger surface access emissions (kg)</t>
  </si>
  <si>
    <t>CO2e emissions per passenger (kg)</t>
  </si>
  <si>
    <t>Modal Share</t>
  </si>
  <si>
    <t>Drop off</t>
  </si>
  <si>
    <t>Parking</t>
  </si>
  <si>
    <t>Rail incl. tram</t>
  </si>
  <si>
    <t>Coach/bus</t>
  </si>
  <si>
    <t>Other</t>
  </si>
  <si>
    <t>Passenger Sustainable Surface Access</t>
  </si>
  <si>
    <t>GRI 401-1</t>
  </si>
  <si>
    <t>New employee hires and employee turnover</t>
  </si>
  <si>
    <t>Headcount</t>
  </si>
  <si>
    <t>Average</t>
  </si>
  <si>
    <t>Bristol Airport</t>
  </si>
  <si>
    <t>16 - 25</t>
  </si>
  <si>
    <t>26 - 35</t>
  </si>
  <si>
    <t>36 - 45</t>
  </si>
  <si>
    <t>46 - 55</t>
  </si>
  <si>
    <t>56 - 65</t>
  </si>
  <si>
    <t>Over 65</t>
  </si>
  <si>
    <t>New Hires</t>
  </si>
  <si>
    <t xml:space="preserve">not reported </t>
  </si>
  <si>
    <t xml:space="preserve">	46.4%</t>
  </si>
  <si>
    <t xml:space="preserve">	0.0%</t>
  </si>
  <si>
    <t>Leavers</t>
  </si>
  <si>
    <t>Total</t>
  </si>
  <si>
    <t>Attrition</t>
  </si>
  <si>
    <t>RAA</t>
  </si>
  <si>
    <t>Notes</t>
  </si>
  <si>
    <r>
      <rPr>
        <sz val="8"/>
        <color rgb="FF000000"/>
        <rFont val="Calibri"/>
        <family val="2"/>
      </rPr>
      <t xml:space="preserve">● </t>
    </r>
    <r>
      <rPr>
        <sz val="10"/>
        <color rgb="FF000000"/>
        <rFont val="Futura Lt BT"/>
        <family val="2"/>
      </rPr>
      <t xml:space="preserve">The monthly attrition tables are based on the leavers in the respective month divided by the headcount as at the end of the respective month
</t>
    </r>
    <r>
      <rPr>
        <sz val="8"/>
        <color rgb="FF000000"/>
        <rFont val="Futura Lt BT"/>
        <family val="2"/>
      </rPr>
      <t xml:space="preserve">● </t>
    </r>
    <r>
      <rPr>
        <sz val="10"/>
        <color rgb="FF000000"/>
        <rFont val="Futura Lt BT"/>
        <family val="2"/>
      </rPr>
      <t>The Rolling Annual Average (RAA) is the sum of the leavers in the period divided by the average headcount in the same period</t>
    </r>
  </si>
  <si>
    <t>GRI 401-2</t>
  </si>
  <si>
    <t>Benefits provided to full-time employees that are not provided to temporary or parttime employees</t>
  </si>
  <si>
    <t>Benefits which are standard for full-time employees of the organization but are not provided to temporary or part-time employees, by significant locations of operation. These include, as a minimum:
i. life insurance; 
ii. health care; 
iii. disability and invalidity coverage; 
iv. parental leave; 
v. retirement provision; 
vi. stock ownership; 
vii. others.</t>
  </si>
  <si>
    <t>All of the benefits which are offered to our Full Time colleagues are available to Part Time or Temporary colleagues</t>
  </si>
  <si>
    <t>What is the definition used for ‘significant locations of operation’</t>
  </si>
  <si>
    <t>Significant locations of operation for MAG are Manchester Airport, East Midlands Airport and London Stansted Airport</t>
  </si>
  <si>
    <t>GRI 402-1</t>
  </si>
  <si>
    <t>Labour/Management relations</t>
  </si>
  <si>
    <t xml:space="preserve">The reporting organization shall report the following information: </t>
  </si>
  <si>
    <t xml:space="preserve">a. Minimum number of weeks’ notice typically provided to employees and their representatives prior to the implementation of significant operational changes that could substantially affect them. </t>
  </si>
  <si>
    <t xml:space="preserve">MAG would inform, engage and where appropriate consult with employees prior to the implementation of significant operational changes either within a reasonable timeframe as agreed with the Trade Unions’s or in line with any required statutory periods (eg 30 or 45 days for proposed redundancies). </t>
  </si>
  <si>
    <t>b. For organizations with collective bargaining agreements, report whether the notice period and provisions for consultation and negotiation are specified in collective agreements.</t>
  </si>
  <si>
    <t xml:space="preserve">Our agreements with the TU’s are that we inform, engage and consult with them in a timely and transparent way, ensuring adequate information is provided and representatives/employees have adequate time to consider proposals.  </t>
  </si>
  <si>
    <t>GRI 401-3</t>
  </si>
  <si>
    <t>Parental leave</t>
  </si>
  <si>
    <t>The reporting organization shall report the following information:</t>
  </si>
  <si>
    <t xml:space="preserve">Male </t>
  </si>
  <si>
    <t>a. Total number of employees that were entitled to parental leave, by gender.</t>
  </si>
  <si>
    <t>Not possible to report this year</t>
  </si>
  <si>
    <t>b. Total number of employees that took parental leave, by gender.</t>
  </si>
  <si>
    <t>c. Total number of employees that returned to work in the reporting period after parental leave ended, by gender.</t>
  </si>
  <si>
    <t>d. Total number of employees that returned to work after parental leave ended that were still employed 12 months after their return to work, by gender.</t>
  </si>
  <si>
    <t>e. Return to work and retention rates of employees that took parental leave, by gender.</t>
  </si>
  <si>
    <r>
      <rPr>
        <b/>
        <sz val="10"/>
        <color theme="1"/>
        <rFont val="Futura Lt BT"/>
        <family val="2"/>
      </rPr>
      <t>Notes</t>
    </r>
    <r>
      <rPr>
        <sz val="10"/>
        <color theme="1"/>
        <rFont val="Futura Lt BT"/>
        <family val="2"/>
      </rPr>
      <t xml:space="preserve">
All colleagues are eligible for Parental Leave subject to meeting the requirements as follows:
1.	Are the parent of a child who is under 18 years old; or
2.	They are named on the child’s birth or adoption certificate or they have or expect to have parental responsibility
3.	Are not self-employed or are a ‘worker’, e.g. an agency worker or contractor
4.	Are not a foster parent (unless they’ve secured parental responsibility through the courts)
We are unable to determine the status of all colleagues in line with point 1 and as such I have deemed all colleagues are eligible for this type of leave.
Based on the extract from CSS there was very little recorded as Paternity Leave.  We believe the large use of furlough may be a factor in this.  Of the three cases of Paternity Leave taken one has an end date which spans the reporting period so this accounts for there being two in the returners column.
With respect to element D, “Total number of employees that returned to work after parental leave ended that were still employed 12 months after their return to work, by gender” we are unable to determine this for one of the cases i.e. the end date is December 2020 and we would not be able to confirm whether this colleague remained in employment 12 months after the return date.  As we cannot confirm this we are also unable to confirm the retention rates as per element E.401-3
</t>
    </r>
  </si>
  <si>
    <t xml:space="preserve">GRI 403-1, 2, 3, 4, 5, 6, 7, 8, 9, 10 &amp; 416-1, 416-2 </t>
  </si>
  <si>
    <t>Occupational Health &amp; Safety/Customer Health &amp; Safety</t>
  </si>
  <si>
    <r>
      <t xml:space="preserve">MAG
</t>
    </r>
    <r>
      <rPr>
        <sz val="8"/>
        <color theme="1"/>
        <rFont val="Futura Lt BT"/>
        <family val="2"/>
      </rPr>
      <t>MAG does not differentiate between MAG staff and directly employeed contractors. 
Third parties working on MAG controlled sites manage their own Health and Safety within the MAG framework and permits to work system. 
Any deviation from the MAG framework must be agreed with MAG.</t>
    </r>
  </si>
  <si>
    <t>Data Owner</t>
  </si>
  <si>
    <t>Rebecca Hewitt</t>
  </si>
  <si>
    <t xml:space="preserve">403-1 </t>
  </si>
  <si>
    <t>Occupational health and safety management system</t>
  </si>
  <si>
    <t>The reporting organization shall report the following information for employees and for workers who are not employees but whose work and/or workplace is controlled by the organization:</t>
  </si>
  <si>
    <t>a. A statement of whether an occupational health and safety management system has been implemented, including whether:</t>
  </si>
  <si>
    <t>The occupational health and safety management system has been implemented based on the original OHSAS 18001 standard and has since been been updated/transitioned and accredited to the ISO 45001 Occupational Health &amp; Safety Management system. The system was implemented and accredited based on a risk management approach as well as to continually improve.It is the intent of the management system to explain how MAG manages health and safety across its business, satisfies the requirements of ISO 45001 and how it sets objectives for continual improvement in support of its aim to be a recognised best practice organisation. Each Airfield within MAG operates as independent entity and have local arrangements for safety management contained within their respective Aerodrome Manuals. Therefore outside the scope of ISO45001 audit.</t>
  </si>
  <si>
    <t>i. the system has been implemented because of legal requirements and, if so, a list of the requirements;</t>
  </si>
  <si>
    <t>ii. the system has been implemented based on recognized risk management and/or management system standards/guidelines and, if so, a list of the standards/guidelines.</t>
  </si>
  <si>
    <t>b. A description of the scope of workers, activities, and workplaces covered by the occupational health and safety management system, and an explanation of whether and, if so, why any workers, activities, or workplaces are not covered.</t>
  </si>
  <si>
    <t xml:space="preserve">403-2 </t>
  </si>
  <si>
    <t>Hazard identification, risk assessment, and incident investigation</t>
  </si>
  <si>
    <t>a. A description of the processes used to identify work-related hazards and assess risks on a routine and non-routine basis, and to apply the hierarchy of controls in order to eliminate hazards and minimize risks, including:</t>
  </si>
  <si>
    <t>The hazard identification process within MAG, aims to determine proactively all sources, situations or acts (or a combination of these), arising from MAGs activities, with a potential for harm in terms of injury or ill health. Hazard identification shall consider the different types of hazards in the workplace. MAGs hazard identification process takes account of the following:
•	Routine and non-routine activities such as plant cleaning and maintenance, extreme weather conditions, refurbishment and plant start-ups/shutdowns
•	Activities of all persons having access to the workplace including contractors, visitors and home-based workers
•	Human behaviour, capabilities and other human factors
•	Identified hazards originating outside the workplace capable of adversely affecting the health and safety of persons under the control of MAG within the workplace
•	Hazards created in the vicinity of the workplace by work-related activities under the control of MAG
•	Infrastructure, equipment and materials at the workplace, whether provided by MAG or others
•	Changes or proposed changes in MAG or its activities
•	Modifications to the OH&amp;S management system, including temporary changes, and their impact on operations, processes and activities
•	Any applicable legal obligations relating to risk assessment and the implementation of necessary controls
•	The design of work areas, processes, installations, machinery/equipment, operating procedures including their adaptation to human capabilities
•	Potential emergency situations
•	Changes in knowledge of, and information about, hazards. Inc new or changed hazards.
MAG will apply the process of hazard identification and risk assessment to determine the controls that are necessary to reduce the risks of injury and/or ill health. The purpose of risk assessment is to address the hazards that might arise in the course of MAGs activities and ensure that the risks to people arising from these hazards are assessed, prioritized and controlled.
This is achieved by:
•	Developing a methodology for hazard identification and risk assessment
•	Identifying hazards
•	Estimating the associated risk levels, taking into account the adequacy of existing controls, based on an assessment of the likelihood of the occurrence of a hazardous event or exposure and the severity of injury or ill health that can be caused by the event or exposure
•	Determining whether these risks are acceptable with regard to MAGs legal obligation and its OH&amp;S objectives
•	Determining the appropriate risk controls, where these are found to be necessary
•	Documenting the results of the risk assessment
•	Reviewing the hazard identification and risk assessment process on an ongoing basis.
The outputs from the risk assessment process shall be used in the implementation and development of other parts of the OH&amp;S management system such as competence, operational planning and control, and monitoring, measurement, analysis and performance evaluation.
MAG will consider risks to sensitive populations (e.g. pregnant employees) and vulnerable groups (e.g. young workers) as well as any particular susceptibilities of the individuals involved in performing particular tasks (e.g. the ability of an individual to read instructions).
The risk assessment process will involve consultation with, and participation by, workers and take into account legal and other requirements.
Risk assessment shall be conducted by personnel with competence in risk assessment methodologies and techniques and appropriate knowledge of MAGs work activities.
MAG will also take into account risks which are not directly related to the health and safety of people, but which affect the OH&amp;S management system itself and can have an impact on its intended outcomes.
Risks to the OH&amp;S management system include:
•	Failure to understand the context of the organisation
•	Failure to address the needs and expectations of relevant interested parties
•	Inadequate consultation and participation of workers
•	Inadequate planning or allocation of resources
•	An inadequate audit program
•	An incomplete management reviews
•	Poor succession planning for key roles and engagememt by top management
Assessment of OH&amp;S opportunities and other opportunities to the OH&amp;S management system
MAG shall establish, implement and maintain a process to assess:
•	OH&amp;S opportunities to enhance OH&amp;S performance, while considering planned changes to the organisation, its policies, processes or activities
•	Other opportunities for improving the OH&amp;S management system.
Opportunities to improve OH&amp;S performance include:
•	Consideration of hazards and risks when planning and designing facilities, processes, plant and equipment, and materials
•	Modification of working processes including the alleviation of monotonous and repetitive work
•	Introduction of new technology to improve high-risk activities
•	Collaborating in forums that focus on issues relating to occupational health and safety.
•	Introduction of job safety analysis and task-related assessments
•	Implementation of permit-to-work processes
•	Implementation of ergonomic and other injury prevention-related assessments
•	Improvement of the occupational health and safety culture of MAG
Opportunities to improve the OH&amp;S management system include:
•	Enhancing the visibility of top management’s support for the OH&amp;S management system
•	Improving worker consultation and participation in OH&amp;S decision making
•	Enhancing the incident investigation process
•	Improving two-way communication on OH&amp;S issues and promoting OH&amp;S in the workplace
•	Expediting corrective actions to address OH&amp;S nonconformities
•	Implementing OH&amp;S objectives with the same passion as other business objectives
•	Improving competency in identifying hazards, dealing with OH&amp;S risks and implementing appropriate controls
•	Adopting a risk assessment approach to conducting OH&amp;S audits
•	Viewing workers at all levels as a key resource of the business
•	Ensuring that the management review promotes a strategic and critical evaluation of the OH&amp;S management system.
Risk Assessments
The MAG risk assessment process (as detailed in the Risk Assessment Procedure HSP-01) requires control measures to be defined and implemented according to the hierarchy of control. It is recognised that there are circumstances that cannot be planned for in advance (such as reaction to an emergency situation) and so preparing a written assessment in advance may not be possible in all cases. Therefore, before any work is carried out for which a significant hazard or risk exists, the person responsible for the work in conjunction with those who are about to carry it out should discuss the issues and implement the necessary controls. If te work is likely to be carried out again a full written risk assessment should be prepared without delay. For capital projects, the Project Delivery System (PDS) contains risk assessment mechanisms to generate project specific risk assessments. For all projects within scope of the Construction (Design and Management) Regulations reference should be made to the Construction Phase Health and Safety Plan. Implementation of controls identified in risk assessments is the responsibility of the departments that manage the activity. Risk Assessment Review - Should the way in which a particular task is carried out change, new tasks be introduced, new equipment brought into service or some other circumstance relating to a task change, it is for the operational areas to assess this prior to its being implemented to confirm the impact upon the hazards and risks present within the area of the business in question.
All risk assessments will be reviewed at a frequency commensurate with the risk rating. No assessment will be reviewed less than annually. 
Risk Assessments will be retained for the duration of the relevant process or activity or until a further assessment renders a previous version obsolete. Obsolete risk assessments will be retained for a period as defined in the Records section of this document.                                                                                                                                                                                   Incident Investigation - MAG operates an online accident and incident reporting system that is available to all colleagues. All accidents and incidents are to be reported as soon as possible and no later than 24 hours after the event. The online system is used for all types of report from injury and near miss through to fire, medical first aid and general hazard reporting. As part of the Vision Zero programme, MAG encourages all colleagues and those working for service partners, to report any unsafe act or condition that they may see. This can be done anonymously if required. The online reporting system is managed by Group Safety &amp; Resilience and is available through the intranet or via a web for third party contractors and service partners. Near Miss Incident and Hazard reports are investigated on the same category scale according to the potential for harm identified. Group or Divisional Health and Safety may investigate any level of event should the initial investigation indicate that it is appropriate.
In order to assist Health and Safety with investigations, departmental managers are required to carry out an initial investigation, as detailed in the Group Procedure HSP-02 Accidents, Incident Reporting &amp; Investigation, to establish certain basic facts.
MAG’s accident and incident investigation process is designed to understand the root causes of accidents and incidents including the extent to which behaviours have contributed to the circumstances of the event in question. It does not seek to blame individuals for their actions but appreciate what influenced the outcome. To this end MAG includes a behaviour-based dimension in determining any possible corrective actions that have been highlighted through the investigation process. 
In instances where it emerges that individual(s) have wilfully neglected their safety responsibilities a separate disciplinary process may be instigated in accordance with MAG HR Procedures.</t>
  </si>
  <si>
    <t>The hazard identification process within MAG, aims to proactively determine all sources, situations or acts (or a combination of these), arising from MAGs activities, with a potential for harm in terms of injury or ill health. Hazard identification shall consider the different types of hazards in the workplace. MAGs hazard identification process takes account of the following:
•	Routine and non-routine activities such as plant cleaning and maintenance, extreme weather conditions, refurbishment and plant start-ups/shutdowns
•	Activities of all persons having access to the workplace including contractors, third party employees, visitors and home-based workers
•	Human behaviour, capabilities and other human factors
•	Identified hazards originating outside the workplace capable of adversely affecting the health and safety of persons under the control of MAG within the workplace
•	Hazards created in the vicinity of the workplace by work-related activities under the control of MAG
•	Infrastructure, equipment and materials at the workplace, whether provided by MAG or others
•	Changes or proposed changes in MAG or its activities
•	Modifications to the OH&amp;S management system, including temporary changes, and their impact on operations, processes and activities
•	Any applicable legal obligations relating to risk assessment and the implementation of necessary controls
•	The design of work areas, processes, installations, machinery/equipment, operating procedures including their adaptation to human capabilities
•	Potential emergency situations
•	Changes in knowledge of, and information about, hazards. Inc new or changed hazards.
MAG will apply the process of hazard identification and risk assessment to determine the controls that are necessary to reduce the risks of injury and/or ill health. The purpose of risk assessment is to address the hazards that might arise in the course of MAGs activities and ensure that the risks to people arising from these hazards are assessed, prioritized and controlled.
This is achieved by:
•	Developing a methodology for hazard identification and risk assessment
•	Identifying hazards
•	Estimating the associated risk levels, taking into account the adequacy of existing controls, based on an assessment of the likelihood of the occurrence of a hazardous event or exposure and the severity of injury or ill health that can be caused by the event or exposure
•	Determining whether these risks are acceptable with regard to MAGs legal obligation and its OH&amp;S objectives
•	Determining the appropriate risk controls, where these are found to be necessary
•	Documenting the results of the risk assessment
•	Reviewing the hazard identification and risk assessment process on an ongoing basis.
The outputs from the risk assessment process shall be used in the implementation and development of other parts of the OH&amp;S management system such as competence, operational planning and control, and monitoring, measurement, analysis and performance evaluation.
MAG will consider risks to sensitive populations (e.g. pregnant employees) and vulnerable groups (e.g. young workers) as well as any particular susceptibilities of the individuals involved in performing particular tasks (e.g. the ability of an individual to read instructions).
The risk assessment process will involve consultation with, and participation by, workers and take into account legal and other requirements.
Risk assessment shall be conducted by personnel with competence in risk assessment methodologies and techniques and appropriate knowledge of MAGs work activities.
MAG will also take into account risks which are not directly related to the health and safety of people, but which affect the OH&amp;S management system itself and can have an impact on its intended outcomes.
Risks to the OH&amp;S management system include:
•	Failure to understand the context of the organisation
•	Failure to address the needs and expectations of relevant interested parties
•	Inadequate consultation and participation of workers
•	Inadequate planning or allocation of resources
•	An inadequate audit program
•	An incomplete management reviews
•	Poor succession planning for key roles and engagememt by top management
Assessment of OH&amp;S opportunities and other opportunities to the OH&amp;S management system
MAG shall establish, implement and maintain a process to assess:
•	OH&amp;S opportunities to enhance OH&amp;S performance, while considering planned changes to the organisation, its policies, processes or activities
•	Other opportunities for improving the OH&amp;S management system.
Opportunities to improve OH&amp;S performance include:
•	Consideration of hazards and risks when planning and designing facilities, processes, plant and equipment, and materials
•	Modification of working processes including the alleviation of monotonous and repetitive work
•	Introduction of new technology to improve high-risk activities
•	Collaborating in forums that focus on issues relating to occupational health and safety.
•	Introduction of job safety analysis and task-related assessments
•	Implementation of permit-to-work processes
•	Implementation of ergonomic and other injury prevention-related assessments
•	Improvement of the occupational health and safety culture of MAG
Opportunities to improve the OH&amp;S management system include:
•	Enhancing the visibility of top management’s support for the OH&amp;S management system
•	Improving worker consultation and participation in OH&amp;S decision making
•	Enhancing the incident investigation process
•	Improving two-way communication on OH&amp;S issues and promoting OH&amp;S in the workplace
•	Expediting corrective actions to address OH&amp;S nonconformities
•	Implementing OH&amp;S objectives with the same passion as other business objectives
•	Improving competency in identifying hazards, dealing with OH&amp;S risks and implementing appropriate controls
•	Adopting a risk assessment approach to conducting OH&amp;S audits
•	Viewing workers at all levels as a key resource of the business
•	Ensuring that the management review promotes a strategic and critical evaluation of the OH&amp;S management system.
Risk Assessments
The MAG risk assessment process (as detailed in the Risk Assessment Procedure HSP-01) requires control measures to be defined and implemented according to the hierarchy of control. It is recognised that there are circumstances that cannot be planned for in advance (such as reaction to an emergency situation) and so preparing a written assessment in advance may not be possible in all cases. Therefore, before any work is carried out for which a significant hazard or risk exists, the person responsible for the work in conjunction with those who are about to carry it out should discuss the issues and implement the necessary controls. If te work is likely to be carried out again a full written risk assessment should be prepared without delay. For capital projects, the Project Delivery System (PDS) contains risk assessment mechanisms to generate project specific risk assessments. For all projects within scope of the Construction (Design and Management) Regulations reference should be made to the Construction Phase Health and Safety Plan. Implementation of controls identified in risk assessments is the responsibility of the departments that manage the activity. Risk Assessment Review - Should the way in which a particular task is carried out change, new tasks be introduced, new equipment brought into service or some other circumstance relating to a task change, it is for the operational areas to assess this prior to its being implemented to confirm the impact upon the hazards and risks present within the area of the business in question.
All risk assessments will be reviewed at a frequency commensurate with the risk rating. No assessment will be reviewed less than annually. 
Risk Assessments will be retained for the duration of the relevant process or activity or until a further assessment renders a previous version obsolete. Obsolete risk assessments will be retained for a period as defined in the Records section of this document.                                                                                                                                                                                   Incident Investigation - MAG operates an online accident and incident reporting system that is available to all colleagues. All accidents and incidents are to be reported as soon as possible and no later than 24 hours after the event. The online system is used for all types of report from injury and near miss through to fire, medical first aid and general hazard reporting. As part of the Vision Zero programme, MAG encourages all colleagues and those working for service partners, to report any unsafe act or condition that they may see. This can be done anonymously if required. The online reporting system is managed by Group Safety &amp; Resilience and is available through the intranet or via a web for third party contractors and service partners. Near Miss Incident and Hazard reports are investigated on the same category scale according to the potential for harm identified. Group or Divisional Health and Safety may investigate any level of event should the initial investigation indicate that it is appropriate.
In order to assist Health and Safety with investigations, departmental managers are required to carry out an initial investigation, as detailed in the Group Procedure HSP-02 Accidents, Incident Reporting &amp; Investigation, to establish certain basic facts.
MAG’s accident and incident investigation process is designed to understand the root causes of accidents and incidents including the extent to which behaviours have contributed to the circumstances of the event in question. It does not seek to blame individuals for their actions but appreciate what influenced the outcome. To this end MAG includes a behaviour-based dimension in determining any possible corrective actions that have been highlighted through the investigation process. 
In instances where it emerges that individual(s) have wilfully neglected their safety responsibilities a separate disciplinary process may be instigated in accordance with MAG HR Procedures.</t>
  </si>
  <si>
    <t>The hazard identification process within MAG, aims to proactively determine all sources, situations or acts (or a combination of these), arising from MAGs activities, with a potential for harm in terms of injury or ill health. Hazard identification shall consider the different types of hazards in the workplace. MAGs hazard identification process takes account of the following:
•	Routine and non-routine activities such as plant cleaning and maintenance, extreme weather conditions, refurbishment and plant start-ups/shutdowns
•	Activities of all persons having access to the workplace including contractors, third party employees, visitors and home-based workers
•	Human behaviour, capabilities and other human factors
•	Identified hazards originating outside the workplace capable of adversely affecting the health and safety of persons under the control of MAG within the workplace
•	Hazards created in the vicinity of the workplace by work-related activities under the control of MAG
•	Infrastructure, equipment and materials at the workplace, whether provided by MAG or others
•	Changes or proposed changes in MAG or its activities
•	Modifications to the OH&amp;S management system, including temporary changes, and their impact on operations, processes and activities
•	Any applicable legal obligations relating to risk assessment and the implementation of necessary controls
•	The design of work areas, processes, installations, machinery/equipment, operating procedures including their adaptation to human capabilities
•	Potential emergency situations
•	Changes in knowledge of, and information about, hazards. Inc new or changed hazards.
MAG will apply the process of hazard identification and risk assessment to determine the controls that are necessary to reduce the risks of injury and/or ill health. The purpose of risk assessment is to address the hazards that might arise in the course of MAGs activities and ensure that the risks to people arising from these hazards are assessed, prioritized and controlled.
This is achieved by:
•	Developing a methodology for hazard identification and risk assessment
•	Identifying hazards
•	Estimating the associated risk levels, taking into account the adequacy of existing controls, based on an assessment of the likelihood of the occurrence of a hazardous event or exposure and the severity of injury or ill health that can be caused by the event or exposure
•	Determining whether these risks are acceptable with regard to MAGs legal obligation and its OH&amp;S objectives
•	Determining the appropriate risk controls, where these are found to be necessary
•	Documenting the results of the risk assessment
•	Reviewing the hazard identification and risk assessment process on an ongoing basis.
The outputs from the risk assessment process shall be used in the implementation and development of other parts of the OH&amp;S management system such as competence, operational planning and control, and monitoring, measurement, analysis and performance evaluation.
MAG will consider risks to sensitive populations (e.g. pregnant employees) and vulnerable groups (e.g. young workers) as well as any particular susceptibilities of the individuals involved in performing particular tasks (e.g. the ability of an individual to read instructions).
The risk assessment process will involve consultation with, and participation by, workers and take into account legal and other requirements.
Risk assessment shall be conducted by personnel with competence in risk assessment methodologies and techniques and appropriate knowledge of MAGs work activities.
MAG will also take into account risks which are not directly related to the health and safety of people, but which affect the OH&amp;S management system itself and can have an impact on its intended outcomes.
Risks to the OH&amp;S management system include:
•	Failure to understand the context of the organisation
•	Failure to address the needs and expectations of relevant interested parties
•	Inadequate consultation and participation of workers
•	Inadequate planning or allocation of resources
•	An inadequate audit program
•	An incomplete management reviews
•	Poor succession planning for key roles and engagememt by top management
Assessment of OH&amp;S opportunities and other opportunities to the OH&amp;S management system
MAG shall establish, implement and maintain a process to assess:
•	OH&amp;S opportunities to enhance OH&amp;S performance, while considering planned changes to the organisation, its policies, processes or activities
•	Other opportunities for improving the OH&amp;S management system.
Opportunities to improve OH&amp;S performance include:
•	Consideration of hazards and risks when planning and designing facilities, processes, plant and equipment, and materials
•	Modification of working processes including the alleviation of monotonous and repetitive work
•	Introduction of new technology to improve high-risk activities
•	Collaborating in forums that focus on issues relating to occupational health and safety.
•	Introduction of job safety analysis and task-related assessments
•	Implementation of permit-to-work processes
•	Implementation of ergonomic and other injury prevention-related assessments
•	Improvement of the occupational health and safety culture of MAG
Opportunities to improve the OH&amp;S management system include:
•	Enhancing the visibility of top management’s support for the OH&amp;S management system
•	Improving worker consultation and participation in OH&amp;S decision making
•	Enhancing the incident investigation process
•	Improving two-way communication on OH&amp;S issues and promoting OH&amp;S in the workplace
•	Expediting corrective actions to address OH&amp;S nonconformities
•	Implementing OH&amp;S objectives with the same passion as other business objectives
•	Improving competency in identifying hazards, dealing with OH&amp;S risks and implementing appropriate controls
•	Adopting a risk assessment approach to conducting OH&amp;S audits
•	Viewing workers at all levels as a key resource of the business
•	Ensuring that the management review promotes a strategic and critical evaluation of the OH&amp;S management system.
Risk Assessments
The MAG risk assessment process (as detailed in the Risk Assessment Procedure HSP-01) requires control measures to be defined and implemented according to the hierarchy of control. It is recognised that there are circumstances that cannot be planned for in advance (such as reaction to an emergency situation) and so preparing a written assessment in advance may not be possible in all cases. Therefore, before any work is carried out for which a significant hazard or risk exists, the person responsible for the work in conjunction with those who are about to carry it out should discuss the issues and implement the necessary controls. If te work is likely to be carried out again a full written risk assessment should be prepared without delay. For capital projects, the Project Delivery System (PDS) contains risk assessment mechanisms to generate project specific risk assessments. For all projects within scope of the Construction (Design and Management) Regulations reference should be made to the Construction Phase Health and Safety Plan. Implementation of controls identified in risk assessments is the responsibility of the departments that manage the activity. Risk Assessment Review - Should the way in which a particular task is carried out change, new tasks be introduced, new equipment brought into service or some other circumstance relating to a task change, it is for the operational areas to assess this prior to its being implemented to confirm the impact upon the hazards and risks present within the area of the business in question.
All risk assessments will be reviewed at a frequency commensurate with the risk rating. No assessment will be reviewed less than annually. 
Risk Assessments will be retained for the duration of the relevant process or activity or until a further assessment renders a previous version obsolete. Obsolete risk assessments will be retained for a period as defined in the Records section of this document.                                                                                                                                                                                   Incident Investigation - MAG operates an online accident and incident reporting system that is available to all colleagues. All accidents and incidents are to be reported as soon as possible and no later than 24 hours after the event. The online system is used for all types of report from injury and near miss through to fire, medical first aid and general hazard reporting. MAG encourages all colleagues and those working for service partners, to report any unsafe act or condition that they may see. This can be done anonymously if required. The online reporting system is managed by Group Safety &amp; Resilience and is available through the intranet, an App or via a web for third party contractors and service partners. Near Miss Incident and Hazard reports are investigated on the same category scale according to the potential for harm identified. Group or Divisional Health and Safety may investigate any level of event should the initial investigation indicate that it is appropriate.
In order to assist Health and Safety with investigations, departmental managers are required to carry out an initial investigation, as detailed in the Group Procedure HSP-02 Accidents, Incident Reporting &amp; Investigation, to establish certain basic facts.
MAG’s accident and incident investigation process is designed to understand the root causes of accidents and incidents including the extent to which behaviours have contributed to the circumstances of the event in question. It does not seek to blame individuals for their actions but appreciate what influenced the outcome. To this end MAG includes a behaviour-based dimension in determining any possible corrective actions that have been highlighted through the investigation process. 
In instances where it emerges that individual(s) have wilfully neglected their safety responsibilities a separate disciplinary process may be instigated in accordance with MAG HR Procedures.</t>
  </si>
  <si>
    <t>i. how the organization ensures the quality of these processes, including the competency of persons who carry them out;</t>
  </si>
  <si>
    <t>ii. how the results of these processes are used to evaluate and continually improve the occupational health and safety management system.</t>
  </si>
  <si>
    <t>b. A description of the processes for workers to report work-related hazards and hazardous situations, and an explanation of how workers are protected against reprisals.</t>
  </si>
  <si>
    <t>c. A description of the policies and processes for workers to remove themselves from work situations that they believe could cause injury or ill health, and an explanation of how workers are protected against reprisals.</t>
  </si>
  <si>
    <t>d. A description of the processes used to investigate work-related incidents, including the processes to identify hazards and assess risks relating to the incidents, to determine corrective actions using the hierarchy of controls, and to determine improvements needed in the occupational health and safety management system.</t>
  </si>
  <si>
    <t>403-3</t>
  </si>
  <si>
    <t>Occupational health services</t>
  </si>
  <si>
    <t>a. A description of the occupational health services’ functions that contribute to the identification and elimination of hazards and minimization of risks, and an explanation of how the organization ensures the quality of these services and facilitates workers’ access to them.</t>
  </si>
  <si>
    <t>see 403-2 hazard identification and minimization of risks
Hazards are identifed and reported by all MAG staff and non MAG staff via the SafePort reporting system. They are reviewed, investigated and assigned a potential severity and type by a trained staff member.</t>
  </si>
  <si>
    <t>403-4</t>
  </si>
  <si>
    <t>Worker participation, consultation, and communication on occupational health and safety</t>
  </si>
  <si>
    <t>a. A description of the processes for worker participation and consultation in the development, implementation, and evaluation of the occupational health and safety management system, and for providing access to and communicating relevant information on occupational health and safety to workers.</t>
  </si>
  <si>
    <t>MAG's Safety and Resilience Governance framework Integrates all MAG functional areas of the Operating model and adopted the ‘OneMAG’ principle of standardisation to the framework. This OneMAG principle is evident throughout the Governance Framework through the establishment of consolidated and standardised meeting forums across the whole of MAG. We have developed standardised documentation TOR's and performance reporting for all Governance meetings.
Key to this standardisation is the development of a MAG Power BI dashboard that produces standardised performance KPI’s and metrics for all the individual forums, encompassing all MAG functional areas and located in a single Group repository for document control (CAMMS).
All documentation related to the Safety &amp; Resilience governance Framework is located in a single repository on MS Teams and cascaded via meetings through the heirarchy from Group afety and resilience Board down to local safety forums. 
Local Safty Forums (monthly) report into Departmental Safety and Resilience Groups (Monthly), report into Airports Safety &amp; resiliecen Board (by-monthly) report into Group Safety and Resilience Board (quarterly) report into Exco monthly reporting into MAG Board. See tab 'H&amp;S -Local safety forum TOR's'</t>
  </si>
  <si>
    <t>MAG's Safety and Resilience Governance framework Integrates all MAG functional areas of the Operating model and adopted the principle of standardisation to the framework. This  principle is evident throughout the Governance Framework through the establishment of consolidated and standardised meeting forums across the whole of MAG. We have developed standardised documentation TOR's and performance reporting for all Governance meetings.
Key to this standardisation is the MAG Power BI dashboard that produces standardised performance KPI’s and metrics for all the individual forums, encompassing all MAG functional areas and located in a single Group repository for document control (CAMMS).
All documentation related to the Safety &amp; Resilience governance Framework is located in a single repository on MS Teams and cascaded via meetings through the heirarchy from Group Safety and Resilience Board down to Local Safety Forums. 
Local Safty Forums (monthly) report into Departmental Safety and Resilience Groups (Monthly), report into Airports Safety &amp; resiliecen Board (by-monthly) report into Group Safety and Resilience Board (quarterly) report into Exco monthly reporting into MAG Board. See tab 'H&amp;S -Local safety forum TOR's'</t>
  </si>
  <si>
    <t>MAG's Safety and Resilience Governance framework integrates all MAG functional areas of the Operating model and adopted the principle of standardisation to the framework. This principle is evident throughout the Governance Framework through the establishment of consolidated and standardised meeting forums across the whole of MAG. We have developed standardised documentation TOR's and performance reporting for all Governance meetings.
Key to this standardisation is the MAG Power BI dashboards and scorecards that produce standardised performance KPI’s and metrics for all the individual forums, encompassing all MAG functional areas and located in a single Group repository for document control (CAMMS).
All documentation related to the Safety &amp; Resilience governance Framework is located in a single repository on MS Teams and cascaded via meetings through the hierarchy from Group Safety and Resilience Board down to Local Safety Forums. 
Local Safety Forums (LSF's) report into Departmental Safety and Resilience Groups (SRG's), which in turn report into Airports Safety &amp; resilience Boards (SRB's) which then report into the Group Safety and Resilience Board (GSRB). In addition agreed and standardised KPI's are also reported within the Exco monthly report and the MAG Board report and Top of Ops narrative. See tab 'H&amp;S -Local safety forum TOR's'</t>
  </si>
  <si>
    <t>b. Where formal joint management–worker health and safety committees exist, a description of their responsibilities, meeting frequency, decision-making authority, and whether and, if so, why any workers are not represented by these committees.</t>
  </si>
  <si>
    <t>403-5</t>
  </si>
  <si>
    <t>Worker training on occupational health and safety</t>
  </si>
  <si>
    <t xml:space="preserve">The reporting organization shall report the following information for employees and for workers who are not employees but whose work and/or workplace is controlled by the organization: </t>
  </si>
  <si>
    <t>a. A description of any occupational health and safety training provided to workers, including generic training as well as training on specific work-related hazards, hazardous activities, or hazardous situations.</t>
  </si>
  <si>
    <t>All MAG employees undertake annual H&amp;S and Fire Safety training. Depending on the role this is supplimented by  additional training in Manual handling provided by a 3rd party supplier, Pristine Condition.  Employee only. 3rd parties provide their own training within the MAG framework.</t>
  </si>
  <si>
    <t>403-6</t>
  </si>
  <si>
    <t>Promotion of worker health</t>
  </si>
  <si>
    <t>The reporting organization shall report the following information for employees and for workers who are not employees but whose work and/or  workplace is controlled by the organization:</t>
  </si>
  <si>
    <t>a. An explanation of how the organization facilitates workers’ access to non-occupational medical and healthcare services, and the scope of access provided.</t>
  </si>
  <si>
    <t>All MAG employees are eliigble for Benefits Me, our flexible benefits platform, which gives them access to a range of health and wellbeing benefits. Colleagues have the opportunity of taking up the health cash plan, at a cost of £3 per month which covers a range of health benefits such as dental check ups, eye tests, physio and hollistic therapies. Leaders have the opportunity of opting into the company PMI scheme and covering their family at their own cost. In addition, all MAG employees have the option of purchasing a range of insurance products - dental insurance, critical illness. To suppor colleague financial wellbeing, MAG offers a discount portal to make every day things that bit cheaper, offering discount on everything from household bills to supermarket shopping. In addition, MAG hosts a range of health and wellbeing promotion material on MAGnet, out intranet, and engages with external providers to run awareness sessions on a range of topics that are avaialble live via Teams or recorded so all colleagues can access regardless of whether on shift or rest day. Your Time to Thrive training has been developed and is being rolled out to all colleagues, with sessions on topics such as stress, positive relationships, embracing a growth mindset. Wellbeing Wednesday is released each week to all colleagues and shines the spotlight on a different topic each week, topics ocvered include, focus on LGBTIQ+ and mental health, sleep for shift workers, importance of hydration. Occupational Health services, provided by Health Partners, are available to all colleagues and in addition to their standard health surveillance and management referrals they offer a wide range of support for all colleagues on a number of topcis including recovery from Covid, cancer support and general health information.  The Employee Assistance Programme is available 24/7 to provide confidential support to colleagues on a range of topics from financial hardship, legal disputes to mental health and counselling.</t>
  </si>
  <si>
    <t>All MAG employees are eligble for Benefits Me, our flexible benefits platform, which gives them access to a range of health and wellbeing benefits. 
Colleagues have the opportunity of taking up the health cash plan, at a cost of £3 per month which covers a range of health benefits such as dental check ups, eye tests, physio and hollistic therapies. 
Leaders are auto enrolled, but can chose to opt out, of the company Private Medical Insurance scheme of which MAG fund the single cover level for them. Colleagues can also chose to cover their partner/family at their own cost. Non Leaders are given the oppertunity to enrol into the scheme at their cost. 
In addition, all MAG employees have the option of purchasing a range of insurance products - dental insurance, critical illness, personal accident insurance and travel insurance. 
To support colleague financial wellbeing, MAG offers a discount portal to make every day things that bit cheaper, offering discounts on everything from household bills to supermarket shopping. MAG also collaborate with 3rd parties such as leading Uk Banks to provide financial wellbeing education and support. 
In addition, MAG hosts a range of health and wellbeing promotion material on MAGnet, the intranet, and engages with external providers to run awareness sessions on a range of topics that are avaialble live via Teams or recorded so all colleagues can access regardless of whether on shift or rest day. 
MAG has a variety of Colleague Resource Groups, known as CRG's, which are essentially communities of under represented groups which may need additional support or guidenance within the workplace. The CRG's include: Fly with Priude LGBTQIA+, Carers, Disability, The Womens Network, and the Mental Health CRG. These CRGs meet on a regular basis to support members but also discuss how they can raise awareness and work on initiatives across the group to support other colleagues. 
Occupational Health services, provided by Health Partners, are available to all colleagues and in addition to their standard health surveillance and management referrals they offer a wide range of support for all colleagues on a number of topcis including recovery from Covid, cancer support and general health information.  
The Employee Assistance Programme, provided by VITA, is available 24/7 to provide confidential support to colleagues on a range of topics from financial hardship, legal disputes to mental health and counselling.</t>
  </si>
  <si>
    <t xml:space="preserve">All colleagues have a responsibility for their own wellbeing as well as that of their colleagues as wellbeing is a core foundational principle of our organization. We have a number of key colleagues that take the lead on different aspects of wellbeing:
Group Health &amp; Wellbeing Manager – responsible for setting the overall wellbeing strategy for MAG, delivering tactical actions that address current wellbeing concerns across the organization, monitoring effectiveness of campaigns and using the data to inform next steps.
Each Airport has 2 designated Wellbeing Champions who sit within the People Function (1 x People Partner, 1 x People Advisor) who are responsible for feeding into and translating the group tactical plan into local level campaigns and actions.
Supporting these Wellbeing Champions, each airport has a number of Menopause Champions, Mental Health First Aiders (MHFAs) and Wellbeing Leads who undertake these roles alongside their normal day jobs. These colleagues have all come forward and volunteered to be trained and support colleagues. Colleagues can identify these colleagues in the operation through their different coloured lanyards and pin badges, as well as by visiting our Wellbeing Intranet pages where they all have a profile.
Training takes place throughout the year to ensure all those with a designated wellbeing role are up to date with latest thinking and key practices. All our MHFAs have undergone accredited 2 day training and have regular refreshers. They are invited to connect in forums to discuss challenges being faced within MAG and to hear from the likes of Occupational Health and EAP on external factors impacting on mental health. We have a number of training partners such as Henpicked who deliver bespoke training on topics like the Menopause, and we use them to train our Menopause Champions.
We have a suite of online learning that colleagues can tap into at any time on a range of wellbeing topics as well as specific line manager training on mental health and general wellbeing.
-----------------------------------------------------
Our focus is for Wellbeing to be a core foundational principle of our organisation, making a commitment to our colleagues to create a healthy environment, where people can be themselves, feel well and are able to perform at their best. 
We will continue to focus on 4 main pillars:
Healthy Mind
Objectives:
1. Educate individuals about mental health and its importance
2. Empower individuals to recognise and manage stress, anxiety, and emotional challenges
3. Support individuals in accessing mental health resources and services.
4. Reduce stigma around mental health and foster a culture of openness and support
Healthy Body
Objectives:
1. Promote physical activity: encourage regular movement throughout the workday
2. Support healthy habits: provide education and resources on nutrition, hydration and physical fitness
3. Create a healthier work environment: implement changes that reduce health risks in the workplace
4. Foster long-term behaviour change: encourage colleagues to adopt healthier lifestyles both at work and at home
Healthy Lifestyle
Objectives:
1. Educate individuals on the principles of a healthy lifestyle
2. Empower individuals to make informed choices
3. Support individuals in achieving short- and long-term health and fitness goals
4. Reduce stress and health risks to enhance overall wellbeing and workplace performance
Healthy Finances
Objectives:
1. Educate colleagues on personal finance management
2. Empower colleagues to make informed financial decisions
3. Support colleagues in achieving short- and long-term financial goals
4. Reduce financial stress that may negatively impact work performance and overall wellbeing
-----------------------------------------------------
All MAG employees are eligible for Benefits Me, our flexible benefits platform, which gives them access to a range of health and wellbeing benefits. 
Colleagues have the opportunity of taking up the health cash plan, at a cost of £3 per month which covers a range of health benefits such as dental check-ups, eye tests, physio and holistic therapies. Colleagues in STN now have this fully funded for them as part of their recent pay deal as do all 4a graded colleagues across the Group.
Grade 5+ Leaders are auto enrolled, but can chose to opt out, of the company Private Medical Insurance scheme, currently provided by AXA, of which MAG fund the single cover level for them. Individuals can also choose to cover their partner/family at their own cost. 
In addition, all MAG employees have the option of purchasing a range of insurance products - dental insurance, critical illness, personal accident insurance and travel insurance. All of these products are now offered on a net pay basis, meaning more of our front-line colleagues can now take up the benefit as they are not impacted by National Living Wage rates. New for April 2025, we offered all colleagues the opportunity to purchase cancer screening for themselves and their loved ones which has been very popular.
To support colleague financial wellbeing, MAG offers a discount portal to make everyday things that bit cheaper, offering discounts on everything from household bills to supermarket shopping. MAG also collaborate with 3rd parties such as leading UK Banks to provide financial wellbeing education and support. 
In addition, MAG hosts a range of health and wellbeing promotion material on MAGnet, the intranet, and engages with external providers to run awareness sessions on a range of topics that are available live via Teams or recorded so all colleagues can access regardless of whether on shift or rest day. 
MAG has a variety of Colleague Communities, formally CRG's, which are essentially communities of underrepresented groups which may need additional support or guidance within the workplace. The CC's include Fly with Pride LGBTQIA+, Carers, RespectAbility, The Women’s Network, and the Mental Health CRG. These CC’s meet on a regular basis to support members but also discuss how they can raise awareness and work on initiatives across the group to support other colleagues. 
Across MAG, colleagues have volunteered to be trained as Mental Health First Aiders and Menopause Champions and both services are widely used.
Occupational Health services, provided by Health Partners, are available to all colleagues and in addition to their standard health surveillance and management referrals they offer a wide range of support for all colleagues on a number of topics including recovery from Covid, cancer support and general health information.  
The Employee Assistance Programme, provided by VITA, is available 24/7 to provide confidential support to colleagues on a range of topics from financial hardship, legal disputes to mental health and counselling.
</t>
  </si>
  <si>
    <t>b. A description of any voluntary health promotion services and programs offered to workers to address major non-work-related health risks, including the specific health risks addressed, and how the organization facilitates workers’ access to these services and programs.</t>
  </si>
  <si>
    <t>403-7</t>
  </si>
  <si>
    <t>Prevention and mitigation of occupational health and safety impacts directly linked by business relationships</t>
  </si>
  <si>
    <t>MAG will apply the process of hazard identification and risk assessment to determine the controls that are necessary to reduce the risks of injury and/or ill health. The purpose of risk assessment is to address the hazards that might arise in the course of MAGs activities and ensure that the risks to people arising from these hazards are assessed, prioritized and controlled. This is achieved by:
•	Developing a methodology for hazard identification and risk assessment
•	Identifying hazards
•	Estimating the associated risk levels, taking into account the adequacy of existing controls, based on an assessment of the likelihood of the occurrence of a hazardous event or exposure and the severity of injury or ill health that can be caused by the event or exposure
•	Determining whether these risks are acceptable with regard to MAGs legal obligation and its OH&amp;S objectives
•	Determining the appropriate risk controls, where these are found to be necessary
•	Documenting the results of the risk assessment
•	Reviewing the hazard identification and risk assessment process on an ongoing basis.
The outputs from the risk assessment process shall be used in the implementation and development of other parts of the OH&amp;S management system such as competence, operational planning and control, and monitoring, measurement, analysis and performance evaluation.
MAG will consider risks to sensitive populations (e.g. pregnant employees) and vulnerable groups (e.g. young workers) as well as any particular susceptibilities of the individuals involved in performing particular tasks (e.g. the ability of an individual to read instructions).
The risk assessment process will involve consultation with, and participation by, workers and take into account legal and other requirements.
Risk assessment shall be conducted by personnel with competence in risk assessment methodologies and techniques and appropriate knowledge of MAGs work activities.
MAG will also take into account risks which are not directly related to the health and safety of people, but which affect the OH&amp;S management system itself and can have an impact on its intended outcomes.
Risks to the OH&amp;S management system include:
•	Failure to understand the context of the organisation
•	Failure to address the needs and expectations of relevant interested parties
•	Inadequate consultation and participation of workers
•	Inadequate planning or allocation of resources
•	An inadequate audit program
•	An incomplete management reviews
•	Poor succession planning for key roles
•	Poor engagement by top management
Assessment of OH&amp;S opportunities and other opportunities to the OH&amp;S management system
MAG shall establish, implement and maintain a process to assess:
•	OH&amp;S opportunities to enhance OH&amp;S performance, while considering planned changes to the organisation, its policies, processes or activities
•	Other opportunities for improving the OH&amp;S management system.
Opportunities to improve OH&amp;S performance include:
•	Consideration of hazards and risks when planning and designing facilities, processes, plant and equipment, and materials
•	Modification of working processes including the alleviation of monotonous and repetitive work
•	Introduction of new technology to improve high-risk activities
•	Collaborating in forums that focus on issues relating to occupational health and safety.
•	Introduction of job safety analysis and task-related assessments
•	Implementation of permit-to-work processes
•	Implementation of ergonomic and other injury prevention-related assessments
•	Improvement of the occupational health and safety culture of MAG
Opportunities to improve the OH&amp;S management system include:
•	Enhancing the visibility of top management’s support for the OH&amp;S management system
•	Improving worker consultation and participation in OH&amp;S decision making
•	Enhancing the incident investigation process
•	Improving two-way communication on OH&amp;S issues and promoting OH&amp;S in the workplace
•	Expediting corrective actions to address OH&amp;S nonconformities
•	Implementing OH&amp;S objectives with the same passion as other business objectives
•	Improving competency in identifying hazards, dealing with OH&amp;S risks and implementing appropriate controls
•	Adopting a risk assessment approach to conducting OH&amp;S audits
•	Viewing workers at all levels as a key resource of the business
•	Ensuring that the management review promotes a strategic and critical evaluation of the OH&amp;S management system.</t>
  </si>
  <si>
    <t>a. A description of the organization’s approach to preventing or mitigating significant negative occupational health and safety impacts that are directly linked to its operations, products or services by its business relationships, and the related hazards and risks.</t>
  </si>
  <si>
    <t>403-8</t>
  </si>
  <si>
    <t xml:space="preserve">
Workers covered by an occupational health and safety management system</t>
  </si>
  <si>
    <t>?</t>
  </si>
  <si>
    <t>a. If the organization has implemented an occupational health and safety management system based on legal requirements and/or recognized standards/guidelines:</t>
  </si>
  <si>
    <t>i. the number and percentage of all employees and workers who are not employees but whose work and/or workplace is controlled by the organization, who are covered by such a system;</t>
  </si>
  <si>
    <t>ii. the number and percentage of all employees and workers who are not employees but whose work and/or workplace is controlled by the organization, who are covered by such a system that has been internally audited;</t>
  </si>
  <si>
    <t>iii. the number and percentage of all employees and workers who are not employees but whose work and/or workplace is controlled by the organization, who are covered by such a system that has been audited or certified by an external party.</t>
  </si>
  <si>
    <t>b. Whether and, if so, why any workers have been excluded from this disclosure, including the types of worker excluded.</t>
  </si>
  <si>
    <t>c. Any contextual information necessary to understand how the data have been compiled, such as any standards, methodologies, and assumptions used.</t>
  </si>
  <si>
    <t>MAG does not differentiate between MAG staff and directly employeed contractors. 3rd parties working on MAG controlled sites manage their own Health and Safety within the MAG framework and permits to work system. Any deviation from the MAG framework must be agreed with MAG.</t>
  </si>
  <si>
    <t>403-9</t>
  </si>
  <si>
    <t>Work-related injuries</t>
  </si>
  <si>
    <t>a. For all employees:</t>
  </si>
  <si>
    <t>i. The number of fatalities as a result of work-related injury;</t>
  </si>
  <si>
    <t>i. The  rate of fatalities as a result of work-related injury;</t>
  </si>
  <si>
    <t>ii. The number of high-consequence work-related injuries (excluding fatalities) (RIDDORs);</t>
  </si>
  <si>
    <t>ii. The  rate of high-consequence work-related injuries (excluding fatalities) (RIDDOR rate);</t>
  </si>
  <si>
    <t>iii. The number of recordable work-related injuries (LTI's);</t>
  </si>
  <si>
    <t>iii. The  rate of recordable work-related injuries (LTI Rate);</t>
  </si>
  <si>
    <t>iv. The main types of work-related injury;</t>
  </si>
  <si>
    <t>slip or trip hazard</t>
  </si>
  <si>
    <t>Manual Handling
Slip, trip or fall
Road traffic accident
Fall from height
Work related ill- health</t>
  </si>
  <si>
    <t>Hit/trapped by moving/falling object</t>
  </si>
  <si>
    <t>Slip, Trip or Fall
Manual Handling
Road traffic accident
Fall from height
Work related ill- health</t>
  </si>
  <si>
    <t>Manual Handling</t>
  </si>
  <si>
    <t>Slip, Trip or Fall</t>
  </si>
  <si>
    <t>Hit / Trapped by Moving / Falling Object</t>
  </si>
  <si>
    <t>v. The number of hours worked.</t>
  </si>
  <si>
    <t>Number of near miss incidents</t>
  </si>
  <si>
    <t>b. For all workers who are not employees but whose work and/or workplace is controlled by the organization:</t>
  </si>
  <si>
    <t>i. The number and rate of fatalities as a result of work-related injury;</t>
  </si>
  <si>
    <t>ii. The number and rate of high-consequence work-related injuries (excluding fatalities) (RIDDORs);</t>
  </si>
  <si>
    <t>iii. The number and rate of recordable work-related injuries;</t>
  </si>
  <si>
    <t>3rd parties working on MAG controlled sites manage their own Health and Safety within the MAG framework and permits to work system. Any deviation from the MAG framework must be agreed with MAG. An significant incidents are reported to MAG. There have been no significant 3rd party injuries in the period.</t>
  </si>
  <si>
    <t>3rd parties working on MAG controlled sites manage their own Health and Safety within the MAG framework and permits to work system. Any deviation from the MAG framework must be agreed with MAG. Any significant incidents are reported to MAG (please see point b.ii).</t>
  </si>
  <si>
    <t>Please see note above</t>
  </si>
  <si>
    <t>This is no longer captured by MAG due to unreliable data and incomplete available data</t>
  </si>
  <si>
    <t>c. The work-related hazards that pose a risk of high-consequence injury, including:</t>
  </si>
  <si>
    <t>i. how these hazards have been determined;</t>
  </si>
  <si>
    <t>Hazards are identifed and reported by all MAG staff and non MAG staff via the SafePort reporting system. They are reviewed, investigated and assigned a potential severity and type by a trained staff member.</t>
  </si>
  <si>
    <t>ii. which of these hazards have caused or contributed to high-consequence injuries during the reporting period;</t>
  </si>
  <si>
    <t>hazards and injures are reported seperatly in the system. There is no link between the 2 so it is not possible to identify hazards that caused an injury</t>
  </si>
  <si>
    <t>iii. actions taken or underway to eliminate these hazards and minimize risks using the hierarchy of controls.</t>
  </si>
  <si>
    <t>all hazards remain open on Safeport until they have been resolved or repaired.</t>
  </si>
  <si>
    <t>d. Any actions taken or underway to eliminate other work-related hazards and minimize risks using the hierarchy of controls.</t>
  </si>
  <si>
    <t>see 403-2/3</t>
  </si>
  <si>
    <t>see 403-2/4</t>
  </si>
  <si>
    <t>e. Whether the rates have been calculated based on 200,000 or 1,000,000 hours worked.</t>
  </si>
  <si>
    <t>f. Whether and, if so, why any workers have been excluded from this disclosure, including the types of worker excluded.</t>
  </si>
  <si>
    <t>Data is for MAG Staff only</t>
  </si>
  <si>
    <t>Data is for MAG employees only</t>
  </si>
  <si>
    <t>g. Any contextual information necessary to understand how the data have been compiled, such as any standards, methodologies, and assumptions used.</t>
  </si>
  <si>
    <t>a ii - I have defined High-Consequence work related injuries as HSE RIDDOR reportable incidents, rolling 12 month RIDDOR AFR rate as at March 2020
a iii - Lost time work related accidents, rolling 12 month lost timeAFR rate as at March 2020
a v - excludes furlough working hours</t>
  </si>
  <si>
    <t>a ii and b ii-  High-Consequence work related injuries are defined as HSE RIDDOR reportable incidents (regardless of contributory or non-contributory). Rolling 12 month RIDDOR AFR rate as at March 2023
a iii - Lost time work related accidents, rolling 12 month lost timeAFR rate as at March 2023
a v - excludes furlough working hours</t>
  </si>
  <si>
    <t>a ii and b ii-  High-Consequence work related injuries are defined as HSE RIDDOR reportable incidents (regardless of contributory or non-contributory). Rolling 12 month RIDDOR AFR rate as at March 2024
a iii - Lost time work related accidents (MAG contributory), rolling 12 month lost timeAFR rate as at March 2024
a v - MAG figures are for those employees who fall into Group roles</t>
  </si>
  <si>
    <t>a ii and b ii-  High-Consequence work related injuries are defined as HSE RIDDOR reportable incidents (regardless of contributory or non-contributory). Rolling 12 month RIDDOR AFR rate as at March 2025
a iii - Lost time work related accidents, rolling 12 month lost time AFR rate as at March 2025
a v - MAG figures are for those employees who fall into Group roles</t>
  </si>
  <si>
    <t>403-10</t>
  </si>
  <si>
    <t>Work-related ill health</t>
  </si>
  <si>
    <t>i. The number of fatalities as a result of work-related ill health;</t>
  </si>
  <si>
    <t>ii. The number of cases of recordable work-related ill health;</t>
  </si>
  <si>
    <t>Unable to determine</t>
  </si>
  <si>
    <t>iii. The main types of work-related ill health.</t>
  </si>
  <si>
    <t xml:space="preserve">Muscle Injuries and other Injuries </t>
  </si>
  <si>
    <t>Slips, trips and falls
MSK injury - manual handling</t>
  </si>
  <si>
    <t>Work-related stress, musculoskeletal</t>
  </si>
  <si>
    <t>c. The work-related hazards that pose a risk of ill health, including:</t>
  </si>
  <si>
    <t xml:space="preserve">All Hazards for each role are identified during the risk assessment process conducted by Health &amp; Safety </t>
  </si>
  <si>
    <t>ii. which of these hazards have caused or contributed to cases of ill health during the reporting period;</t>
  </si>
  <si>
    <t>d. Whether and, if so, why any workers have been excluded from this disclosure, including the types of worker excluded.</t>
  </si>
  <si>
    <t>e. Any contextual information necessary to understand how the data have been compiled, such as any standards, methodologies, and assumptions used.</t>
  </si>
  <si>
    <t>Contractors do not report all minor lost time incidents to MAG. There have been no significant contractor injuries in the period.</t>
  </si>
  <si>
    <t>Contractors do not report all minor lost time incidents to MAG.</t>
  </si>
  <si>
    <t>416-1</t>
  </si>
  <si>
    <t>Assessment of the health and safety impacts of product and service categories</t>
  </si>
  <si>
    <t>The health &amp; safety impacts of our services and the assets used to deliver them are assessed through a risk assessment process. All Divisions within the business carry out annual risk assessments in line with our ISO 45001 (the international standard for health and safety) based health and Safety Framework Standard. Based on the results of these assessments the most important risks are determined, with measures proposed and implemented to reduce risk. In accordance with the ISO 45001 standard, this process is further supported by internal auditing processes. An annual aerodrome inspection is undertaken by the Civil Aviation Authority (CAA) &amp; forms part of the aerodrome licensing process. We collaborate regularly with airlines, handling agents and other parties that operate on our site to review safety performance with the aim of identifying improvements. Recognising that our assets play a significant role in the safety of our customers, MAG continues to progress an asset management programme to be recognised under ISO55001, the international standard for asset management.</t>
  </si>
  <si>
    <t>The health &amp; safety impacts of our services and the assets used to deliver them are assessed through a risk assessment process. All Divisions within the business carry out annual risk assessments in line with our ISO 45001 (the international standard for health and safety) based health and Safety Framework Standard. Based on the results of these assessments the most important risks are determined, with measures proposed and implemented to reduce risk. In accordance with the ISO 45001 standard, this process is further supported by internal auditing processes. An annual aerodrome inspection is undertaken by the Civil Aviation Authority (CAA) &amp; forms part of the aerodrome licensing process. We collaborate regularly with airlines, handling agents and other parties that operate on our site to review safety performance with the aim of identifying improvements. Recognising that our assets play a significant role in the safety of our customers, MAG continues to prioritise health and safety within asset investment planning, in alignment with the MAG Group Asset Management Strategy.</t>
  </si>
  <si>
    <t>416-2</t>
  </si>
  <si>
    <t>Incidents of non-compliance concerning the health and safety impacts of products and services</t>
  </si>
  <si>
    <t>No notices or prosecutions.</t>
  </si>
  <si>
    <t>No incidents of non-compliance within the reporting period that have effected products or services.</t>
  </si>
  <si>
    <t>Health and safety performance of local community</t>
  </si>
  <si>
    <t>No notices prosecutions or fines.</t>
  </si>
  <si>
    <t>(Written assessment)</t>
  </si>
  <si>
    <t>Report the total number of incidents of non-compliance with regulations and voluntary codes concerning the health and safety impacts of products and services within the reporting period, by:
• Incidents of non-compliance with regulations resulting in a fine or penalty
• Incidents of non-compliance with regulations resulting in a warning
• Incidents of non-compliance with voluntary codes
If the organization has not identified any non-compliance with regulations and voluntary codes, a brief statement of this fact is sufficient.</t>
  </si>
  <si>
    <t>(Number of incidents of non-compliance with regulations resulting in a fine or penalty)</t>
  </si>
  <si>
    <t>No incidents of non-compliance with HSE and local authority regulations or volunatary codes within the reporting period.</t>
  </si>
  <si>
    <t>PRM Scores</t>
  </si>
  <si>
    <t>Airport</t>
  </si>
  <si>
    <t>Operation</t>
  </si>
  <si>
    <t>Performance Financial Year</t>
  </si>
  <si>
    <t>Departures</t>
  </si>
  <si>
    <r>
      <rPr>
        <b/>
        <sz val="10"/>
        <color theme="1"/>
        <rFont val="Futura Lt BT"/>
        <family val="2"/>
      </rPr>
      <t xml:space="preserve">Number of </t>
    </r>
    <r>
      <rPr>
        <b/>
        <u/>
        <sz val="10"/>
        <color theme="1"/>
        <rFont val="Futura Lt BT"/>
        <family val="2"/>
      </rPr>
      <t>notified departing</t>
    </r>
    <r>
      <rPr>
        <b/>
        <sz val="10"/>
        <color theme="1"/>
        <rFont val="Futura Lt BT"/>
        <family val="2"/>
      </rPr>
      <t xml:space="preserve"> passengers</t>
    </r>
    <r>
      <rPr>
        <sz val="10"/>
        <color theme="1"/>
        <rFont val="Futura Lt BT"/>
        <family val="2"/>
      </rPr>
      <t xml:space="preserve"> (total for financial year)</t>
    </r>
  </si>
  <si>
    <t>ND</t>
  </si>
  <si>
    <r>
      <rPr>
        <b/>
        <sz val="10"/>
        <color theme="1"/>
        <rFont val="Futura Lt BT"/>
        <family val="2"/>
      </rPr>
      <t xml:space="preserve">Number of </t>
    </r>
    <r>
      <rPr>
        <b/>
        <u/>
        <sz val="10"/>
        <color theme="1"/>
        <rFont val="Futura Lt BT"/>
        <family val="2"/>
      </rPr>
      <t>notified departing</t>
    </r>
    <r>
      <rPr>
        <b/>
        <sz val="10"/>
        <color theme="1"/>
        <rFont val="Futura Lt BT"/>
        <family val="2"/>
      </rPr>
      <t xml:space="preserve"> passengers provided with assistance within </t>
    </r>
    <r>
      <rPr>
        <b/>
        <u/>
        <sz val="10"/>
        <color theme="1"/>
        <rFont val="Futura Lt BT"/>
        <family val="2"/>
      </rPr>
      <t>30 minutes</t>
    </r>
    <r>
      <rPr>
        <sz val="10"/>
        <color theme="1"/>
        <rFont val="Futura Lt BT"/>
        <family val="2"/>
      </rPr>
      <t xml:space="preserve"> of making themselves known at a designated point (total for financial year)</t>
    </r>
  </si>
  <si>
    <r>
      <t xml:space="preserve">Departing - Notified Passengers - % </t>
    </r>
    <r>
      <rPr>
        <sz val="10"/>
        <color theme="1"/>
        <rFont val="Futura Lt BT"/>
        <family val="2"/>
      </rPr>
      <t>of all departing notified disabled passengers and those with reduced mobility provided with assistance within 30 minutes of making themselves known at a designated point.</t>
    </r>
  </si>
  <si>
    <r>
      <rPr>
        <b/>
        <sz val="10"/>
        <color theme="1"/>
        <rFont val="Futura Lt BT"/>
        <family val="2"/>
      </rPr>
      <t xml:space="preserve">Number of </t>
    </r>
    <r>
      <rPr>
        <b/>
        <u/>
        <sz val="10"/>
        <color theme="1"/>
        <rFont val="Futura Lt BT"/>
        <family val="2"/>
      </rPr>
      <t>non-notified departing</t>
    </r>
    <r>
      <rPr>
        <b/>
        <sz val="10"/>
        <color theme="1"/>
        <rFont val="Futura Lt BT"/>
        <family val="2"/>
      </rPr>
      <t xml:space="preserve"> passengers</t>
    </r>
    <r>
      <rPr>
        <sz val="10"/>
        <color theme="1"/>
        <rFont val="Futura Lt BT"/>
        <family val="2"/>
      </rPr>
      <t xml:space="preserve"> (total for financial year)</t>
    </r>
  </si>
  <si>
    <r>
      <rPr>
        <b/>
        <sz val="10"/>
        <color theme="1"/>
        <rFont val="Futura Lt BT"/>
        <family val="2"/>
      </rPr>
      <t xml:space="preserve">Number of </t>
    </r>
    <r>
      <rPr>
        <b/>
        <u/>
        <sz val="10"/>
        <color theme="1"/>
        <rFont val="Futura Lt BT"/>
        <family val="2"/>
      </rPr>
      <t>non-notified departing</t>
    </r>
    <r>
      <rPr>
        <b/>
        <sz val="10"/>
        <color theme="1"/>
        <rFont val="Futura Lt BT"/>
        <family val="2"/>
      </rPr>
      <t xml:space="preserve"> passengers provided with assistance within </t>
    </r>
    <r>
      <rPr>
        <b/>
        <u/>
        <sz val="10"/>
        <color theme="1"/>
        <rFont val="Futura Lt BT"/>
        <family val="2"/>
      </rPr>
      <t>45 minutes</t>
    </r>
    <r>
      <rPr>
        <sz val="10"/>
        <color theme="1"/>
        <rFont val="Futura Lt BT"/>
        <family val="2"/>
      </rPr>
      <t xml:space="preserve"> of making themselves known at a designated point (total for financial year)</t>
    </r>
  </si>
  <si>
    <r>
      <t xml:space="preserve">Departing - Non-notified Passengers - % of </t>
    </r>
    <r>
      <rPr>
        <sz val="10"/>
        <color theme="1"/>
        <rFont val="Futura Lt BT"/>
        <family val="2"/>
      </rPr>
      <t>all departing non-notified disabled passengers and those with reduced mobility provided with assistance within 45 minutes of making themselves known at a designated point.</t>
    </r>
  </si>
  <si>
    <t>Arrivals</t>
  </si>
  <si>
    <r>
      <rPr>
        <b/>
        <sz val="10"/>
        <color theme="1"/>
        <rFont val="Futura Lt BT"/>
        <family val="2"/>
      </rPr>
      <t xml:space="preserve">Number of </t>
    </r>
    <r>
      <rPr>
        <b/>
        <u/>
        <sz val="10"/>
        <color theme="1"/>
        <rFont val="Futura Lt BT"/>
        <family val="2"/>
      </rPr>
      <t>notified arriving</t>
    </r>
    <r>
      <rPr>
        <b/>
        <sz val="10"/>
        <color theme="1"/>
        <rFont val="Futura Lt BT"/>
        <family val="2"/>
      </rPr>
      <t xml:space="preserve"> passengers</t>
    </r>
    <r>
      <rPr>
        <sz val="10"/>
        <color theme="1"/>
        <rFont val="Futura Lt BT"/>
        <family val="2"/>
      </rPr>
      <t xml:space="preserve"> (total for financial year)</t>
    </r>
  </si>
  <si>
    <r>
      <rPr>
        <b/>
        <sz val="10"/>
        <color theme="1"/>
        <rFont val="Futura Lt BT"/>
        <family val="2"/>
      </rPr>
      <t xml:space="preserve">Number of </t>
    </r>
    <r>
      <rPr>
        <b/>
        <u/>
        <sz val="10"/>
        <color theme="1"/>
        <rFont val="Futura Lt BT"/>
        <family val="2"/>
      </rPr>
      <t>notified arriving</t>
    </r>
    <r>
      <rPr>
        <b/>
        <sz val="10"/>
        <color theme="1"/>
        <rFont val="Futura Lt BT"/>
        <family val="2"/>
      </rPr>
      <t xml:space="preserve"> passengers provided with assistance within </t>
    </r>
    <r>
      <rPr>
        <b/>
        <u/>
        <sz val="10"/>
        <color theme="1"/>
        <rFont val="Futura Lt BT"/>
        <family val="2"/>
      </rPr>
      <t>20 minutes</t>
    </r>
    <r>
      <rPr>
        <sz val="10"/>
        <color theme="1"/>
        <rFont val="Futura Lt BT"/>
        <family val="2"/>
      </rPr>
      <t xml:space="preserve"> from 'on chocks'.</t>
    </r>
  </si>
  <si>
    <r>
      <t xml:space="preserve">Arriving - Notified Passengers - </t>
    </r>
    <r>
      <rPr>
        <sz val="10"/>
        <color theme="1"/>
        <rFont val="Futura Lt BT"/>
        <family val="2"/>
      </rPr>
      <t>% of arriving pre-notified disabled passengers and those with reduced mobility, receiving assistance within 20 minutes from 'on chocks'.</t>
    </r>
  </si>
  <si>
    <r>
      <rPr>
        <b/>
        <sz val="10"/>
        <color theme="1"/>
        <rFont val="Futura Lt BT"/>
        <family val="2"/>
      </rPr>
      <t xml:space="preserve">Number of </t>
    </r>
    <r>
      <rPr>
        <b/>
        <u/>
        <sz val="10"/>
        <color theme="1"/>
        <rFont val="Futura Lt BT"/>
        <family val="2"/>
      </rPr>
      <t>non-notified arriving</t>
    </r>
    <r>
      <rPr>
        <b/>
        <sz val="10"/>
        <color theme="1"/>
        <rFont val="Futura Lt BT"/>
        <family val="2"/>
      </rPr>
      <t xml:space="preserve"> passengers</t>
    </r>
    <r>
      <rPr>
        <sz val="10"/>
        <color theme="1"/>
        <rFont val="Futura Lt BT"/>
        <family val="2"/>
      </rPr>
      <t xml:space="preserve"> (total for financial year)</t>
    </r>
  </si>
  <si>
    <r>
      <rPr>
        <b/>
        <sz val="10"/>
        <color theme="1"/>
        <rFont val="Futura Lt BT"/>
        <family val="2"/>
      </rPr>
      <t xml:space="preserve">Number of </t>
    </r>
    <r>
      <rPr>
        <b/>
        <u/>
        <sz val="10"/>
        <color theme="1"/>
        <rFont val="Futura Lt BT"/>
        <family val="2"/>
      </rPr>
      <t>non-notified arriving</t>
    </r>
    <r>
      <rPr>
        <b/>
        <sz val="10"/>
        <color theme="1"/>
        <rFont val="Futura Lt BT"/>
        <family val="2"/>
      </rPr>
      <t xml:space="preserve"> passengers provided with assistance within </t>
    </r>
    <r>
      <rPr>
        <b/>
        <u/>
        <sz val="10"/>
        <color theme="1"/>
        <rFont val="Futura Lt BT"/>
        <family val="2"/>
      </rPr>
      <t>45 minutes</t>
    </r>
    <r>
      <rPr>
        <sz val="10"/>
        <color theme="1"/>
        <rFont val="Futura Lt BT"/>
        <family val="2"/>
      </rPr>
      <t xml:space="preserve"> from 'on chocks'.</t>
    </r>
  </si>
  <si>
    <r>
      <t xml:space="preserve">Arriving - Non-notified Passengers - </t>
    </r>
    <r>
      <rPr>
        <sz val="10"/>
        <color theme="1"/>
        <rFont val="Futura Lt BT"/>
        <family val="2"/>
      </rPr>
      <t>% of arriving non-notified disabled passengers and those with reduced mobility receiving assistance within 45 minutes from 'on chocks'.</t>
    </r>
  </si>
  <si>
    <t>Overall</t>
  </si>
  <si>
    <t>Total number of PRM</t>
  </si>
  <si>
    <r>
      <t>Number of completed guest satisfaction surveys</t>
    </r>
    <r>
      <rPr>
        <sz val="10"/>
        <color theme="1"/>
        <rFont val="Futura Lt BT"/>
        <family val="2"/>
      </rPr>
      <t xml:space="preserve"> - total for financial year</t>
    </r>
    <r>
      <rPr>
        <b/>
        <sz val="10"/>
        <color theme="1"/>
        <rFont val="Futura Lt BT"/>
        <family val="2"/>
      </rPr>
      <t>.</t>
    </r>
  </si>
  <si>
    <r>
      <t>Guest satisfaction</t>
    </r>
    <r>
      <rPr>
        <sz val="10"/>
        <color theme="1"/>
        <rFont val="Futura Lt BT"/>
        <family val="2"/>
      </rPr>
      <t xml:space="preserve"> - Average rating for financial year.</t>
    </r>
  </si>
  <si>
    <t xml:space="preserve">Total number of PRM </t>
  </si>
  <si>
    <t>403-4 -Supplemental information on TORs</t>
  </si>
  <si>
    <t>Local safety forum TOR's</t>
  </si>
  <si>
    <t>Purpose</t>
  </si>
  <si>
    <r>
      <t xml:space="preserve">Frequency: </t>
    </r>
    <r>
      <rPr>
        <sz val="10"/>
        <rFont val="Futura Lt BT"/>
        <family val="2"/>
      </rPr>
      <t>Monthly</t>
    </r>
  </si>
  <si>
    <r>
      <t>•</t>
    </r>
    <r>
      <rPr>
        <sz val="10"/>
        <color rgb="FF000000"/>
        <rFont val="Futura Lt BT"/>
        <family val="2"/>
      </rPr>
      <t>To assist the Safety &amp; Resilience Group in fulfilling its duties</t>
    </r>
  </si>
  <si>
    <r>
      <t>•</t>
    </r>
    <r>
      <rPr>
        <sz val="10"/>
        <color rgb="FF000000"/>
        <rFont val="Futura Lt BT"/>
        <family val="2"/>
      </rPr>
      <t>Consult upon, review and make recommendations to change Policy, Strategy, Standards, Process, Objectives and Targets with regard to Health and Safety; Fire Safety and Business Continuity &amp; Risk</t>
    </r>
  </si>
  <si>
    <r>
      <t>•</t>
    </r>
    <r>
      <rPr>
        <sz val="10"/>
        <color rgb="FF000000"/>
        <rFont val="Futura Lt BT"/>
        <family val="2"/>
      </rPr>
      <t>Assess the continued effectiveness of Management Systems</t>
    </r>
  </si>
  <si>
    <r>
      <t>•</t>
    </r>
    <r>
      <rPr>
        <sz val="10"/>
        <color rgb="FF000000"/>
        <rFont val="Futura Lt BT"/>
        <family val="2"/>
      </rPr>
      <t>Review and analysis operational risk controls and performance, to include incidents, accidents &amp; hazard identification; including emerging trends</t>
    </r>
  </si>
  <si>
    <r>
      <t>•</t>
    </r>
    <r>
      <rPr>
        <sz val="10"/>
        <color rgb="FF000000"/>
        <rFont val="Futura Lt BT"/>
        <family val="2"/>
      </rPr>
      <t>Delivery of compliance and Safe Systems of Work</t>
    </r>
  </si>
  <si>
    <r>
      <t>•</t>
    </r>
    <r>
      <rPr>
        <sz val="10"/>
        <color rgb="FF000000"/>
        <rFont val="Futura Lt BT"/>
        <family val="2"/>
      </rPr>
      <t>Consultation with Safety Reps on performance, change and risk controls</t>
    </r>
  </si>
  <si>
    <r>
      <t>•</t>
    </r>
    <r>
      <rPr>
        <sz val="10"/>
        <color rgb="FF000000"/>
        <rFont val="Futura Lt BT"/>
        <family val="2"/>
      </rPr>
      <t>Provide updates to SRG on all audit findings and the implementation of any required changes</t>
    </r>
  </si>
  <si>
    <r>
      <t>•</t>
    </r>
    <r>
      <rPr>
        <sz val="10"/>
        <color rgb="FF000000"/>
        <rFont val="Futura Lt BT"/>
        <family val="2"/>
      </rPr>
      <t>Compliance monitoring of all areas of the business area.  Implementation of required corrective actions or mitigations for identified non-compliance.</t>
    </r>
  </si>
  <si>
    <r>
      <t>•</t>
    </r>
    <r>
      <rPr>
        <sz val="10"/>
        <color rgb="FF000000"/>
        <rFont val="Futura Lt BT"/>
        <family val="2"/>
      </rPr>
      <t>Identification of training needs</t>
    </r>
  </si>
  <si>
    <r>
      <t>•</t>
    </r>
    <r>
      <rPr>
        <sz val="10"/>
        <color rgb="FF000000"/>
        <rFont val="Futura Lt BT"/>
        <family val="2"/>
      </rPr>
      <t>Promotion of a positive safety culture</t>
    </r>
  </si>
  <si>
    <t>Decision Making and Reporting</t>
  </si>
  <si>
    <r>
      <t>•</t>
    </r>
    <r>
      <rPr>
        <sz val="10"/>
        <color rgb="FF000000"/>
        <rFont val="Futura Lt BT"/>
        <family val="2"/>
      </rPr>
      <t>Determine actions to improve the safety performance and risk profile of departmental area</t>
    </r>
  </si>
  <si>
    <r>
      <t>•</t>
    </r>
    <r>
      <rPr>
        <sz val="10"/>
        <color rgb="FF000000"/>
        <rFont val="Futura Lt BT"/>
        <family val="2"/>
      </rPr>
      <t>Review KPI data and analysis of trends and causes</t>
    </r>
  </si>
  <si>
    <t>Key Inputs</t>
  </si>
  <si>
    <t>Key Outputs</t>
  </si>
  <si>
    <r>
      <t>•</t>
    </r>
    <r>
      <rPr>
        <sz val="10"/>
        <color rgb="FF000000"/>
        <rFont val="Futura Lt BT"/>
        <family val="2"/>
      </rPr>
      <t>Action Tracker from previous meeting</t>
    </r>
  </si>
  <si>
    <r>
      <t>•</t>
    </r>
    <r>
      <rPr>
        <sz val="10"/>
        <color rgb="FF000000"/>
        <rFont val="Futura Lt BT"/>
        <family val="2"/>
      </rPr>
      <t>Departmental Operational Level</t>
    </r>
  </si>
  <si>
    <r>
      <t>•</t>
    </r>
    <r>
      <rPr>
        <sz val="10"/>
        <color rgb="FF000000"/>
        <rFont val="Futura Lt BT"/>
        <family val="2"/>
      </rPr>
      <t xml:space="preserve">H&amp;S &amp; Fire Safety Board Reports on performance, risk, compliance and initiatives. </t>
    </r>
  </si>
  <si>
    <r>
      <t>•</t>
    </r>
    <r>
      <rPr>
        <sz val="10"/>
        <color rgb="FF000000"/>
        <rFont val="Futura Lt BT"/>
        <family val="2"/>
      </rPr>
      <t>Implements changes to organisational arrangements and priorities</t>
    </r>
  </si>
  <si>
    <r>
      <t>•</t>
    </r>
    <r>
      <rPr>
        <sz val="10"/>
        <color rgb="FF000000"/>
        <rFont val="Futura Lt BT"/>
        <family val="2"/>
      </rPr>
      <t xml:space="preserve">Group and Divisional Audit Reports/Health checks (Internal &amp; External) </t>
    </r>
  </si>
  <si>
    <r>
      <t>•</t>
    </r>
    <r>
      <rPr>
        <sz val="10"/>
        <color rgb="FF000000"/>
        <rFont val="Futura Lt BT"/>
        <family val="2"/>
      </rPr>
      <t>Action all objectives and targets set by SRG</t>
    </r>
  </si>
  <si>
    <r>
      <t>•</t>
    </r>
    <r>
      <rPr>
        <sz val="10"/>
        <color rgb="FF000000"/>
        <rFont val="Futura Lt BT"/>
        <family val="2"/>
      </rPr>
      <t>MAG/STN H&amp;S Management System</t>
    </r>
  </si>
  <si>
    <r>
      <t>•</t>
    </r>
    <r>
      <rPr>
        <sz val="10"/>
        <color rgb="FF000000"/>
        <rFont val="Futura Lt BT"/>
        <family val="2"/>
      </rPr>
      <t>Prioritised actions to address performance issues, key risks, emerging  trends, audit actions and compliance issues</t>
    </r>
  </si>
  <si>
    <r>
      <t>•</t>
    </r>
    <r>
      <rPr>
        <sz val="10"/>
        <color rgb="FF000000"/>
        <rFont val="Futura Lt BT"/>
        <family val="2"/>
      </rPr>
      <t>Regulatory and legislation changes</t>
    </r>
  </si>
  <si>
    <r>
      <t>•</t>
    </r>
    <r>
      <rPr>
        <sz val="10"/>
        <color rgb="FF000000"/>
        <rFont val="Futura Lt BT"/>
        <family val="2"/>
      </rPr>
      <t>Implementation of new and existing initiatives to improve the airports culture</t>
    </r>
  </si>
  <si>
    <r>
      <t>•</t>
    </r>
    <r>
      <rPr>
        <sz val="10"/>
        <color rgb="FF000000"/>
        <rFont val="Futura Lt BT"/>
        <family val="2"/>
      </rPr>
      <t>Regulator and stakeholder interventions</t>
    </r>
  </si>
  <si>
    <r>
      <t>•</t>
    </r>
    <r>
      <rPr>
        <sz val="10"/>
        <color rgb="FF000000"/>
        <rFont val="Futura Lt BT"/>
        <family val="2"/>
      </rPr>
      <t xml:space="preserve">Escalates risk to Safety &amp; Resilience Group (SRG) if unable to resolve at a local departmental level or if the action completion date is overdue by 1 month </t>
    </r>
  </si>
  <si>
    <r>
      <t>•</t>
    </r>
    <r>
      <rPr>
        <sz val="10"/>
        <color rgb="FF000000"/>
        <rFont val="Futura Lt BT"/>
        <family val="2"/>
      </rPr>
      <t>Identification of significant risks and issues from operational local forums</t>
    </r>
  </si>
  <si>
    <r>
      <t>•</t>
    </r>
    <r>
      <rPr>
        <sz val="10"/>
        <color rgb="FF000000"/>
        <rFont val="Futura Lt BT"/>
        <family val="2"/>
      </rPr>
      <t>Action Tracker/Minutes circulated to members</t>
    </r>
  </si>
  <si>
    <t>Membership</t>
  </si>
  <si>
    <r>
      <t>•</t>
    </r>
    <r>
      <rPr>
        <b/>
        <sz val="10"/>
        <color rgb="FF000000"/>
        <rFont val="Futura Lt BT"/>
        <family val="2"/>
      </rPr>
      <t xml:space="preserve">Optional Manager: </t>
    </r>
    <r>
      <rPr>
        <sz val="10"/>
        <color rgb="FF000000"/>
        <rFont val="Futura Lt BT"/>
        <family val="2"/>
      </rPr>
      <t>Head of Department</t>
    </r>
  </si>
  <si>
    <r>
      <t>•</t>
    </r>
    <r>
      <rPr>
        <b/>
        <sz val="10"/>
        <color rgb="FF000000"/>
        <rFont val="Futura Lt BT"/>
        <family val="2"/>
      </rPr>
      <t>Minute taker</t>
    </r>
    <r>
      <rPr>
        <sz val="10"/>
        <color rgb="FF000000"/>
        <rFont val="Futura Lt BT"/>
        <family val="2"/>
      </rPr>
      <t>: to be confirmed by members</t>
    </r>
  </si>
  <si>
    <r>
      <t>•</t>
    </r>
    <r>
      <rPr>
        <b/>
        <sz val="10"/>
        <color rgb="FF000000"/>
        <rFont val="Futura Lt BT"/>
        <family val="2"/>
      </rPr>
      <t xml:space="preserve">Chair Person: </t>
    </r>
    <r>
      <rPr>
        <sz val="10"/>
        <color rgb="FF000000"/>
        <rFont val="Futura Lt BT"/>
        <family val="2"/>
      </rPr>
      <t>Senior Management Team</t>
    </r>
  </si>
  <si>
    <r>
      <t>•</t>
    </r>
    <r>
      <rPr>
        <b/>
        <sz val="10"/>
        <color rgb="FF000000"/>
        <rFont val="Futura Lt BT"/>
        <family val="2"/>
      </rPr>
      <t xml:space="preserve">Deputy Chair: </t>
    </r>
    <r>
      <rPr>
        <sz val="10"/>
        <color rgb="FF000000"/>
        <rFont val="Futura Lt BT"/>
        <family val="2"/>
      </rPr>
      <t>Senior Management Team</t>
    </r>
  </si>
  <si>
    <r>
      <t>•</t>
    </r>
    <r>
      <rPr>
        <b/>
        <sz val="10"/>
        <color rgb="FF000000"/>
        <rFont val="Futura Lt BT"/>
        <family val="2"/>
      </rPr>
      <t xml:space="preserve">Secretary: </t>
    </r>
    <r>
      <rPr>
        <sz val="10"/>
        <color rgb="FF000000"/>
        <rFont val="Futura Lt BT"/>
        <family val="2"/>
      </rPr>
      <t>Departmental Administrator</t>
    </r>
  </si>
  <si>
    <r>
      <t>•</t>
    </r>
    <r>
      <rPr>
        <sz val="10"/>
        <color rgb="FF000000"/>
        <rFont val="Futura Lt BT"/>
        <family val="2"/>
      </rPr>
      <t>Management Team / Team Members (Various)</t>
    </r>
  </si>
  <si>
    <r>
      <t>•</t>
    </r>
    <r>
      <rPr>
        <sz val="10"/>
        <color rgb="FF000000"/>
        <rFont val="Futura Lt BT"/>
        <family val="2"/>
      </rPr>
      <t>Assurance Managers</t>
    </r>
  </si>
  <si>
    <r>
      <t>•</t>
    </r>
    <r>
      <rPr>
        <sz val="10"/>
        <color rgb="FF000000"/>
        <rFont val="Futura Lt BT"/>
        <family val="2"/>
      </rPr>
      <t>Health &amp; Safety Business Partner</t>
    </r>
  </si>
  <si>
    <r>
      <t>•</t>
    </r>
    <r>
      <rPr>
        <sz val="10"/>
        <color rgb="FF000000"/>
        <rFont val="Futura Lt BT"/>
        <family val="2"/>
      </rPr>
      <t>Safety Representative i.e.. TU or Departmental</t>
    </r>
  </si>
  <si>
    <r>
      <t>•</t>
    </r>
    <r>
      <rPr>
        <b/>
        <sz val="10"/>
        <color rgb="FF000000"/>
        <rFont val="Futura Lt BT"/>
        <family val="2"/>
      </rPr>
      <t xml:space="preserve">Optional: </t>
    </r>
    <r>
      <rPr>
        <sz val="10"/>
        <color rgb="FF000000"/>
        <rFont val="Futura Lt BT"/>
        <family val="2"/>
      </rPr>
      <t>As requested by Chair Person</t>
    </r>
  </si>
  <si>
    <t xml:space="preserve">GRI 404-1 </t>
  </si>
  <si>
    <t>Average hours of training per year per employee</t>
  </si>
  <si>
    <t xml:space="preserve">MAG </t>
  </si>
  <si>
    <t>Group</t>
  </si>
  <si>
    <r>
      <rPr>
        <b/>
        <sz val="10"/>
        <color rgb="FF000000"/>
        <rFont val="Futura Lt BT"/>
        <family val="2"/>
      </rPr>
      <t>Group</t>
    </r>
    <r>
      <rPr>
        <b/>
        <sz val="8"/>
        <color rgb="FF000000"/>
        <rFont val="Futura Lt BT"/>
        <family val="2"/>
      </rPr>
      <t>[1]</t>
    </r>
  </si>
  <si>
    <t xml:space="preserve">Average hours of training per year per employee </t>
  </si>
  <si>
    <t>Average amount spent per FTE on training and development</t>
  </si>
  <si>
    <t>Percentage of employees who received professional training in the reporting year</t>
  </si>
  <si>
    <t>Percentage of employees who received ESG-related training in the reporting year</t>
  </si>
  <si>
    <t>Assume</t>
  </si>
  <si>
    <t>2.5 days recurrent</t>
  </si>
  <si>
    <t>2 days Tirt</t>
  </si>
  <si>
    <t>4 days induction</t>
  </si>
  <si>
    <t>CSS Training</t>
  </si>
  <si>
    <t>Total hours</t>
  </si>
  <si>
    <t>Users</t>
  </si>
  <si>
    <t>Face to Face Training</t>
  </si>
  <si>
    <t>Delegates</t>
  </si>
  <si>
    <t xml:space="preserve">[1] Group refers to colleagues on a Group contract. </t>
  </si>
  <si>
    <t>Total number who attended Aerozone</t>
  </si>
  <si>
    <t>Number of those from priority areas</t>
  </si>
  <si>
    <t>% of those from priority areas</t>
  </si>
  <si>
    <t xml:space="preserve">GRI 404-2 </t>
  </si>
  <si>
    <t>Programs for upgrading employee skills and transition assistance programs</t>
  </si>
  <si>
    <t>2014/15</t>
  </si>
  <si>
    <t xml:space="preserve">Total number of people supported at each airport academy </t>
  </si>
  <si>
    <t>Total number of people trained through each airport academy</t>
  </si>
  <si>
    <t>Total number of people who have received training through airport academy and then are placed into employment.</t>
  </si>
  <si>
    <t>% of people who have received training through airport academy and then are placed into employment.</t>
  </si>
  <si>
    <t>Total number of people placed into employment at each airport (on-site job)</t>
  </si>
  <si>
    <t xml:space="preserve">Total of people trained from groups defined as ‘disadvantaged’.  </t>
  </si>
  <si>
    <t xml:space="preserve">% of people trained from groups defined as ‘disadvantaged’.  </t>
  </si>
  <si>
    <t>M.A.G</t>
  </si>
  <si>
    <t xml:space="preserve">GRI 404-3 </t>
  </si>
  <si>
    <t>Percentage of employees receiving regular performance and career development reviews</t>
  </si>
  <si>
    <t>% of colleagues who have completed a performance review</t>
  </si>
  <si>
    <t xml:space="preserve">No data </t>
  </si>
  <si>
    <t>No data</t>
  </si>
  <si>
    <t>% of leadership promotions through internally developed candidates (Grades 4a-5)</t>
  </si>
  <si>
    <t>Group functions</t>
  </si>
  <si>
    <t xml:space="preserve">GRI 405-1 </t>
  </si>
  <si>
    <t>Employee Age</t>
  </si>
  <si>
    <t>Age</t>
  </si>
  <si>
    <t>Number of All Staff who are..</t>
  </si>
  <si>
    <t>Number of Senior Management who are..</t>
  </si>
  <si>
    <t>Number of Male employees who are..</t>
  </si>
  <si>
    <t>Number of Female employees who are ...</t>
  </si>
  <si>
    <t>All Staff %</t>
  </si>
  <si>
    <t>Senior Management %</t>
  </si>
  <si>
    <t xml:space="preserve">GRESB </t>
  </si>
  <si>
    <t>Under 30</t>
  </si>
  <si>
    <t>30-50</t>
  </si>
  <si>
    <t>50+</t>
  </si>
  <si>
    <t>Total number of staff who are…</t>
  </si>
  <si>
    <t>% of All Staff who are…</t>
  </si>
  <si>
    <t>Employee Ethnicity</t>
  </si>
  <si>
    <t>Ethnicity</t>
  </si>
  <si>
    <t>White British</t>
  </si>
  <si>
    <t xml:space="preserve">Ethnic Minorities </t>
  </si>
  <si>
    <t>Unknown</t>
  </si>
  <si>
    <t>All Staff</t>
  </si>
  <si>
    <t>Senior Management</t>
  </si>
  <si>
    <t>all Staff %</t>
  </si>
  <si>
    <t>GRI 405-2</t>
  </si>
  <si>
    <t>Equal Remuneration for Women and Men</t>
  </si>
  <si>
    <t xml:space="preserve">Ratio of basic salary and remuneration of women to men by employee category, by significant locations of operation </t>
  </si>
  <si>
    <t>The ratio and remuneration of women to men has been based on all MAG colleagues</t>
  </si>
  <si>
    <t>Level 1</t>
  </si>
  <si>
    <t>Level 2</t>
  </si>
  <si>
    <t>Level 3</t>
  </si>
  <si>
    <t>Level 4</t>
  </si>
  <si>
    <t>Level 5</t>
  </si>
  <si>
    <t>Level 6</t>
  </si>
  <si>
    <t>Level 7</t>
  </si>
  <si>
    <t>Level 8</t>
  </si>
  <si>
    <t>Level 9</t>
  </si>
  <si>
    <t>GRI 411: Rights of Indigenous Peoples</t>
  </si>
  <si>
    <t>Total number of identified incidents of violations involving the rights of indigenous peoples during the reporting period.</t>
  </si>
  <si>
    <t>Manchester Airports Group has assessed its operations and found no direct impact on Indigenous or First Nations peoples within the UK. However, we remain committed to responsible engagement with diverse communities globally, including those that may be indirectly affected through our supply chain or sustainability initiatives.</t>
  </si>
  <si>
    <t>Status of the incidents and actions taken with reference to the following:</t>
  </si>
  <si>
    <t>Incident reviewed by the organization</t>
  </si>
  <si>
    <t>Remediation plans being implemented</t>
  </si>
  <si>
    <t>Remediation plans that have been implemented, with results reviewed through routine internal management review processes</t>
  </si>
  <si>
    <t>Incident no longer subject to action.</t>
  </si>
  <si>
    <t>GRI 415 - Public Policy</t>
  </si>
  <si>
    <t>Total monetary value of financial and in-kind political contributions made directly and indirectly by the organization by country and recipient/beneficiary.</t>
  </si>
  <si>
    <t>If applicable, how the monetary value of in-kind contributions was estimated</t>
  </si>
  <si>
    <t>GRI 413 - Customer Privacy</t>
  </si>
  <si>
    <t>Total number of substantiated complaints received concerning breaches of customer privacy, categorized by:</t>
  </si>
  <si>
    <t>i) Complaints received from outside parties and substantiated by the organization;</t>
  </si>
  <si>
    <t>iii) Total number of identified leaks, thefts, or losses of customer data.</t>
  </si>
  <si>
    <t>GRI 4-AO1, AO2, AO3</t>
  </si>
  <si>
    <t>Passenger Numbers, ATM &amp; Cargo</t>
  </si>
  <si>
    <t>Total number of passengers</t>
  </si>
  <si>
    <t>Air Traffic Movements</t>
  </si>
  <si>
    <t>Total day time air traffic movements (inc. commercial, freight, private/other)</t>
  </si>
  <si>
    <t>Total night time air traffic movements (inc. commercial, freight, private/other)</t>
  </si>
  <si>
    <t xml:space="preserve">Total number of air traffic movements (ATM) Inc.  Commercial, Freight, Private/other </t>
  </si>
  <si>
    <t>Cargo</t>
  </si>
  <si>
    <t>Total tonnes of cargo  
(Freight + mail = cargo)</t>
  </si>
  <si>
    <t>GRI AO4/A06 &amp; 303</t>
  </si>
  <si>
    <t xml:space="preserve">Water </t>
  </si>
  <si>
    <t>A01 - quality of storm water - compliance with surface water discharge consents %)</t>
  </si>
  <si>
    <t>A06-3TI - Aircraft de-icing data Type I fluid applied (m3)</t>
  </si>
  <si>
    <t>not available/measured</t>
  </si>
  <si>
    <t>A06-3TII Aircraft de-icing data - Type II fluid applied (m3)</t>
  </si>
  <si>
    <t>A06-3TIV- Aircraft de-icing data Type IV fluid applied (m3)</t>
  </si>
  <si>
    <t>A06 - airfield anti-icing - volume of product applied (m3)</t>
  </si>
  <si>
    <t>A06 - percentage of de-icing/anti-icing fluid captured for treatment, recovered or recycled</t>
  </si>
  <si>
    <t>303-3 Mains water usage (megalitres)</t>
  </si>
  <si>
    <t>303-3 Third party water</t>
  </si>
  <si>
    <t>303-4ai Discharge of effluent to surface water (megalitres)</t>
  </si>
  <si>
    <t>303-4aiv Discharge of trade effluent to sewer (megalitres)</t>
  </si>
  <si>
    <t>Number of surface water consent tests taken</t>
  </si>
  <si>
    <t>Number of surface water breaches of consent</t>
  </si>
  <si>
    <t xml:space="preserve">Compliance with trade effluent consents (%) </t>
  </si>
  <si>
    <t>Number of trade effluent consent tests taken</t>
  </si>
  <si>
    <t>Number of trade effluent breaches of consent</t>
  </si>
  <si>
    <t>A01 - quality of storm water - compliance with surface water discharge consents %</t>
  </si>
  <si>
    <t>A06 - Airfield anti-icing - volume of product applied (m3)</t>
  </si>
  <si>
    <t>A06 - Percentage of de-icing/anti-icing fluid captured for treatment, recovered or recycled</t>
  </si>
  <si>
    <t>NA</t>
  </si>
  <si>
    <t>Unmetered</t>
  </si>
  <si>
    <t>Aircraft de-icing data - Type II fluid applied</t>
  </si>
  <si>
    <t>not available/measured at all sites</t>
  </si>
  <si>
    <t>GRI 4-A05</t>
  </si>
  <si>
    <t>Air Quality Monitoring</t>
  </si>
  <si>
    <t>Average annual concentration of each pollutant (ug/m3)</t>
  </si>
  <si>
    <r>
      <t>NO</t>
    </r>
    <r>
      <rPr>
        <i/>
        <vertAlign val="subscript"/>
        <sz val="10"/>
        <rFont val="Futura Lt BT"/>
        <family val="2"/>
      </rPr>
      <t>2</t>
    </r>
  </si>
  <si>
    <r>
      <t>PM</t>
    </r>
    <r>
      <rPr>
        <i/>
        <vertAlign val="subscript"/>
        <sz val="10"/>
        <rFont val="Futura Lt BT"/>
        <family val="2"/>
      </rPr>
      <t>10</t>
    </r>
  </si>
  <si>
    <r>
      <t>PM</t>
    </r>
    <r>
      <rPr>
        <i/>
        <sz val="6"/>
        <rFont val="Futura Lt BT"/>
        <family val="2"/>
      </rPr>
      <t>2.5</t>
    </r>
  </si>
  <si>
    <t>Number of breaches of air quality limits</t>
  </si>
  <si>
    <r>
      <t>Stansted 5 NO</t>
    </r>
    <r>
      <rPr>
        <i/>
        <vertAlign val="subscript"/>
        <sz val="10"/>
        <color indexed="8"/>
        <rFont val="Futura Lt BT"/>
        <family val="2"/>
      </rPr>
      <t>2</t>
    </r>
  </si>
  <si>
    <t>Stansted 5 PM10</t>
  </si>
  <si>
    <t>Stansted 5 PM2.5</t>
  </si>
  <si>
    <r>
      <t>Stansted 4 NO</t>
    </r>
    <r>
      <rPr>
        <i/>
        <vertAlign val="subscript"/>
        <sz val="10"/>
        <color indexed="8"/>
        <rFont val="Futura Lt BT"/>
        <family val="2"/>
      </rPr>
      <t>2</t>
    </r>
  </si>
  <si>
    <t>Stansted 4 PM10</t>
  </si>
  <si>
    <t>Stansted 4 PM2.5</t>
  </si>
  <si>
    <r>
      <t>Stansted 3 NO</t>
    </r>
    <r>
      <rPr>
        <i/>
        <vertAlign val="subscript"/>
        <sz val="10"/>
        <color indexed="8"/>
        <rFont val="Futura Lt BT"/>
        <family val="2"/>
      </rPr>
      <t>2</t>
    </r>
  </si>
  <si>
    <r>
      <t>Stansted 3 PM</t>
    </r>
    <r>
      <rPr>
        <i/>
        <vertAlign val="subscript"/>
        <sz val="10"/>
        <color indexed="8"/>
        <rFont val="Futura Lt BT"/>
        <family val="2"/>
      </rPr>
      <t>10</t>
    </r>
  </si>
  <si>
    <t>Stansted 3 PM2.5</t>
  </si>
  <si>
    <r>
      <t>NO</t>
    </r>
    <r>
      <rPr>
        <i/>
        <vertAlign val="subscript"/>
        <sz val="10"/>
        <color indexed="8"/>
        <rFont val="Futura Lt BT"/>
        <family val="2"/>
      </rPr>
      <t>2</t>
    </r>
  </si>
  <si>
    <r>
      <t>PM</t>
    </r>
    <r>
      <rPr>
        <i/>
        <vertAlign val="subscript"/>
        <sz val="10"/>
        <color indexed="8"/>
        <rFont val="Futura Lt BT"/>
        <family val="2"/>
      </rPr>
      <t>10</t>
    </r>
  </si>
  <si>
    <r>
      <t>O</t>
    </r>
    <r>
      <rPr>
        <i/>
        <vertAlign val="subscript"/>
        <sz val="10"/>
        <color indexed="8"/>
        <rFont val="Futura Lt BT"/>
        <family val="2"/>
      </rPr>
      <t>3</t>
    </r>
  </si>
  <si>
    <t>MAG Total</t>
  </si>
  <si>
    <t>Total number of breaches of air quality limits</t>
  </si>
  <si>
    <t>GRI A06 &amp; 306</t>
  </si>
  <si>
    <t>306.4 &amp; EN23 Total waste diverted from disposal (tonnes)</t>
  </si>
  <si>
    <t xml:space="preserve">% of total waste diverted from disposal </t>
  </si>
  <si>
    <t>Total waste segregated on site for recycling</t>
  </si>
  <si>
    <t>% of waste segregated on site for recycling</t>
  </si>
  <si>
    <t>% diverted from landfill</t>
  </si>
  <si>
    <t>Total waste diverted from disposal (tonnes)</t>
  </si>
  <si>
    <t xml:space="preserve"> Waste Breakdown (Tonnes)</t>
  </si>
  <si>
    <t>Non-Hazardous Solid Waste</t>
  </si>
  <si>
    <t>Cat 1 ICW</t>
  </si>
  <si>
    <t xml:space="preserve">Hazardous </t>
  </si>
  <si>
    <t xml:space="preserve">Liquid </t>
  </si>
  <si>
    <t>Reuse</t>
  </si>
  <si>
    <t>Recycling (segregated onsite)</t>
  </si>
  <si>
    <t>Recycling (segregated offsite)</t>
  </si>
  <si>
    <t>Recovery</t>
  </si>
  <si>
    <t>Composting onsite</t>
  </si>
  <si>
    <t>Composting offsite</t>
  </si>
  <si>
    <t>Incineration with energy recovery</t>
  </si>
  <si>
    <t>Incineration without energy recovery</t>
  </si>
  <si>
    <t>Landfill</t>
  </si>
  <si>
    <t>Deepwell injection</t>
  </si>
  <si>
    <t>On-site Storage</t>
  </si>
  <si>
    <t>Total diverted from disposal (GRI)</t>
  </si>
  <si>
    <t>GRI 4-A07</t>
  </si>
  <si>
    <t xml:space="preserve">Noise Footprint </t>
  </si>
  <si>
    <r>
      <t>Area (km</t>
    </r>
    <r>
      <rPr>
        <sz val="11"/>
        <rFont val="Calibri"/>
        <family val="2"/>
      </rPr>
      <t>²</t>
    </r>
    <r>
      <rPr>
        <sz val="10"/>
        <rFont val="Futura Lt BT"/>
        <family val="2"/>
      </rPr>
      <t>)</t>
    </r>
  </si>
  <si>
    <t>Population</t>
  </si>
  <si>
    <t>Noise Footprint 57 dB LAeq day (07:00 - 23:00)</t>
  </si>
  <si>
    <t>Noise Footprint 57 dB Laeq night (23:00 - 07:00)</t>
  </si>
  <si>
    <t>G4-AO8</t>
  </si>
  <si>
    <t>Economic Displacement</t>
  </si>
  <si>
    <t>Number of persons involuntarily resettled</t>
  </si>
  <si>
    <t>Project sites where displacement and resettlement of people occurred and how responsibilities relating to this displacement and resettlement are shared with other organizations.</t>
  </si>
  <si>
    <t>Identify the actual number, or if unavailable an informed estimate, of people resettled, for each project.</t>
  </si>
  <si>
    <t>Of the total number of people resettled, report the breakdown of those that were voluntarily resettled and, if data is available, identify the gender breakdown of those involuntarily resettled.</t>
  </si>
  <si>
    <t>Report the number of people involuntarily resettled, including a description of how responsibilities relating to their resettlement are shared with other organizations.</t>
  </si>
  <si>
    <t>In cases where data is not available or unable to be reported because of an ongoing legal process, reporting organizations should describe the circumstances.</t>
  </si>
  <si>
    <t>Report compensation provided by project and average per household / person.</t>
  </si>
  <si>
    <t>Noise Complaints</t>
  </si>
  <si>
    <t>GRESB RC7</t>
  </si>
  <si>
    <t>2013/14</t>
  </si>
  <si>
    <t xml:space="preserve">Total number of noise complaints </t>
  </si>
  <si>
    <t xml:space="preserve">Number of daytime noise complaints </t>
  </si>
  <si>
    <t>Number of night-time noise complaints</t>
  </si>
  <si>
    <t>Movements per complaint</t>
  </si>
  <si>
    <t xml:space="preserve">Number of noise complaints per 1,000 ATM </t>
  </si>
  <si>
    <t>GRI G4-A09</t>
  </si>
  <si>
    <t xml:space="preserve">Animal (including birds) Strike Monitoring </t>
  </si>
  <si>
    <t xml:space="preserve">Number of Bird Strikes </t>
  </si>
  <si>
    <t>Number of non bird wildlife strikes</t>
  </si>
  <si>
    <t>ATM</t>
  </si>
  <si>
    <t>Bird Strikes per 10,000 ATM</t>
  </si>
  <si>
    <t>Bird and animal strikes per 10,000 ATM</t>
  </si>
  <si>
    <t>Overall MAG</t>
  </si>
  <si>
    <t>GRESB L11</t>
  </si>
  <si>
    <t xml:space="preserve">Employee engagement score </t>
  </si>
  <si>
    <t>No survey carried out this year</t>
  </si>
  <si>
    <t>Customer Satisfaction Surveys</t>
  </si>
  <si>
    <t>22/23</t>
  </si>
  <si>
    <t>23/24</t>
  </si>
  <si>
    <t>24/25</t>
  </si>
  <si>
    <t>% Covered</t>
  </si>
  <si>
    <t xml:space="preserve">Responses </t>
  </si>
  <si>
    <t>PAX</t>
  </si>
  <si>
    <t>Response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</si>
</sst>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64" formatCode="&quot;£&quot;#,##0;[Red]\-&quot;£&quot;#,##0"/>
    <numFmt numFmtId="165" formatCode="&quot;£&quot;#,##0.00;[Red]\-&quot;£&quot;#,##0.00"/>
    <numFmt numFmtId="166" formatCode="_-&quot;£&quot;* #,##0_-;\-&quot;£&quot;* #,##0_-;_-&quot;£&quot;* &quot;-&quot;_-;_-@_-"/>
    <numFmt numFmtId="167" formatCode="_-* #,##0_-;\-* #,##0_-;_-* &quot;-&quot;_-;_-@_-"/>
    <numFmt numFmtId="168" formatCode="_-&quot;£&quot;* #,##0.00_-;\-&quot;£&quot;* #,##0.00_-;_-&quot;£&quot;* &quot;-&quot;??_-;_-@_-"/>
    <numFmt numFmtId="169" formatCode="_-* #,##0.00_-;\-* #,##0.00_-;_-* &quot;-&quot;??_-;_-@_-"/>
    <numFmt numFmtId="170" formatCode="0.0"/>
    <numFmt numFmtId="171" formatCode="&quot;£&quot;#,##0.00"/>
    <numFmt numFmtId="172" formatCode="0.0%"/>
    <numFmt numFmtId="173" formatCode="_-* #,##0_-;\-* #,##0_-;_-* &quot;-&quot;??_-;_-@_-"/>
    <numFmt numFmtId="174" formatCode="#,##0.0"/>
    <numFmt numFmtId="175" formatCode="0.000"/>
    <numFmt numFmtId="176" formatCode="#,##0_ ;\-#,##0\ "/>
    <numFmt numFmtId="177" formatCode="mmm\ yy"/>
    <numFmt numFmtId="178" formatCode="#,##0_ ;[Red]\-#,##0\ "/>
    <numFmt numFmtId="179" formatCode="#,##0.000"/>
    <numFmt numFmtId="180" formatCode="_-[$£-809]* #,##0_-;\-[$£-809]* #,##0_-;_-[$£-809]* &quot;-&quot;??_-;_-@_-"/>
    <numFmt numFmtId="181" formatCode="&quot;£&quot;#,##0"/>
    <numFmt numFmtId="182" formatCode="0.00_ ;\-0.00\ "/>
    <numFmt numFmtId="183" formatCode="#,##0.0000"/>
    <numFmt numFmtId="184" formatCode="_-* #,##0.0_-;\-* #,##0.0_-;_-* &quot;-&quot;??_-;_-@_-"/>
    <numFmt numFmtId="185" formatCode="#,##0.000000000"/>
  </numFmts>
  <fonts count="168">
    <font>
      <sz val="11"/>
      <color theme="1"/>
      <name val="Calibri"/>
      <family val="2"/>
      <scheme val="minor"/>
    </font>
    <font>
      <sz val="10"/>
      <color theme="1"/>
      <name val="Arial"/>
      <family val="2"/>
    </font>
    <font>
      <sz val="11"/>
      <color theme="1"/>
      <name val="Calibri"/>
      <family val="2"/>
      <scheme val="minor"/>
    </font>
    <font>
      <b/>
      <sz val="11"/>
      <color theme="1"/>
      <name val="Calibri"/>
      <family val="2"/>
      <scheme val="minor"/>
    </font>
    <font>
      <b/>
      <sz val="11"/>
      <color theme="3"/>
      <name val="Arial"/>
      <family val="2"/>
    </font>
    <font>
      <sz val="10"/>
      <name val="Arial"/>
      <family val="2"/>
    </font>
    <font>
      <sz val="10"/>
      <color theme="1"/>
      <name val="Futura Lt BT"/>
      <family val="2"/>
    </font>
    <font>
      <b/>
      <sz val="10"/>
      <color theme="1"/>
      <name val="Futura Lt BT"/>
      <family val="2"/>
    </font>
    <font>
      <b/>
      <sz val="11"/>
      <color theme="3"/>
      <name val="Futura Lt BT"/>
      <family val="2"/>
    </font>
    <font>
      <sz val="11"/>
      <name val="Futura Lt BT"/>
      <family val="2"/>
    </font>
    <font>
      <sz val="11"/>
      <color theme="1"/>
      <name val="Futura Lt BT"/>
      <family val="2"/>
    </font>
    <font>
      <sz val="10"/>
      <name val="Futura Lt BT"/>
      <family val="2"/>
    </font>
    <font>
      <sz val="8"/>
      <color theme="1"/>
      <name val="Futura Lt BT"/>
      <family val="2"/>
    </font>
    <font>
      <b/>
      <sz val="8"/>
      <color theme="1"/>
      <name val="Futura Lt BT"/>
      <family val="2"/>
    </font>
    <font>
      <b/>
      <sz val="10"/>
      <color theme="0"/>
      <name val="Futura Lt BT"/>
      <family val="2"/>
    </font>
    <font>
      <b/>
      <sz val="10"/>
      <color theme="1"/>
      <name val="Arial"/>
      <family val="2"/>
    </font>
    <font>
      <sz val="8"/>
      <name val="Calibri"/>
      <family val="2"/>
      <scheme val="minor"/>
    </font>
    <font>
      <b/>
      <sz val="8"/>
      <color theme="3"/>
      <name val="Futura Lt BT"/>
      <family val="2"/>
    </font>
    <font>
      <b/>
      <sz val="10"/>
      <color theme="3"/>
      <name val="Futura Lt BT"/>
      <family val="2"/>
    </font>
    <font>
      <b/>
      <sz val="14"/>
      <color theme="3"/>
      <name val="Futura Bk BT"/>
      <family val="2"/>
    </font>
    <font>
      <b/>
      <sz val="14"/>
      <color theme="3"/>
      <name val="Futura Lt BT"/>
      <family val="2"/>
    </font>
    <font>
      <b/>
      <i/>
      <sz val="10"/>
      <color theme="1"/>
      <name val="Futura Lt BT"/>
      <family val="2"/>
    </font>
    <font>
      <u/>
      <sz val="10"/>
      <color indexed="8"/>
      <name val="Futura Lt BT"/>
      <family val="2"/>
    </font>
    <font>
      <sz val="10"/>
      <color indexed="8"/>
      <name val="Futura Lt BT"/>
      <family val="2"/>
    </font>
    <font>
      <u/>
      <sz val="10"/>
      <color theme="1"/>
      <name val="Futura Lt BT"/>
      <family val="2"/>
    </font>
    <font>
      <sz val="11"/>
      <color rgb="FFFF0000"/>
      <name val="Futura Lt BT"/>
      <family val="2"/>
    </font>
    <font>
      <sz val="10"/>
      <color rgb="FF000000"/>
      <name val="Futura Lt BT"/>
      <family val="2"/>
    </font>
    <font>
      <vertAlign val="superscript"/>
      <sz val="10"/>
      <color theme="1"/>
      <name val="Futura Lt BT"/>
      <family val="2"/>
    </font>
    <font>
      <b/>
      <sz val="9"/>
      <color theme="3"/>
      <name val="Futura Bk BT"/>
      <family val="2"/>
    </font>
    <font>
      <sz val="14"/>
      <color theme="1"/>
      <name val="Futura Lt BT"/>
      <family val="2"/>
    </font>
    <font>
      <sz val="14"/>
      <color theme="3"/>
      <name val="Futura Bk BT"/>
      <family val="2"/>
    </font>
    <font>
      <sz val="11"/>
      <color theme="3"/>
      <name val="Arial"/>
      <family val="2"/>
    </font>
    <font>
      <sz val="11"/>
      <color theme="3"/>
      <name val="Futura Lt BT"/>
      <family val="2"/>
    </font>
    <font>
      <u/>
      <sz val="11"/>
      <color theme="10"/>
      <name val="Calibri"/>
      <family val="2"/>
      <scheme val="minor"/>
    </font>
    <font>
      <sz val="10"/>
      <color rgb="FF002060"/>
      <name val="Futura Lt BT"/>
      <family val="2"/>
    </font>
    <font>
      <sz val="12"/>
      <color theme="1"/>
      <name val="Arial"/>
      <family val="2"/>
    </font>
    <font>
      <b/>
      <sz val="11"/>
      <color rgb="FF44546A"/>
      <name val="Calibri"/>
      <family val="2"/>
      <scheme val="minor"/>
    </font>
    <font>
      <b/>
      <sz val="10"/>
      <color rgb="FF44546A"/>
      <name val="Futura Lt BT"/>
      <family val="2"/>
    </font>
    <font>
      <b/>
      <sz val="14"/>
      <color rgb="FF003366"/>
      <name val="Futura Bk BT"/>
      <family val="2"/>
    </font>
    <font>
      <sz val="11"/>
      <color theme="1"/>
      <name val="Futura Bk BT"/>
      <family val="2"/>
    </font>
    <font>
      <b/>
      <sz val="11"/>
      <color rgb="FF003366"/>
      <name val="Futura Bk BT"/>
      <family val="2"/>
    </font>
    <font>
      <sz val="10"/>
      <color theme="1"/>
      <name val="Futura Bk BT"/>
      <family val="2"/>
    </font>
    <font>
      <sz val="11"/>
      <color rgb="FF003366"/>
      <name val="Futura Bk BT"/>
      <family val="2"/>
    </font>
    <font>
      <b/>
      <sz val="18"/>
      <color rgb="FF003366"/>
      <name val="Futura Bk BT"/>
      <family val="2"/>
    </font>
    <font>
      <b/>
      <sz val="10"/>
      <color rgb="FF003366"/>
      <name val="Futura Lt BT"/>
      <family val="2"/>
    </font>
    <font>
      <b/>
      <sz val="11"/>
      <color rgb="FF003366"/>
      <name val="Futura Lt BT"/>
      <family val="2"/>
    </font>
    <font>
      <b/>
      <sz val="11"/>
      <color rgb="FF003366"/>
      <name val="Calibri"/>
      <family val="2"/>
      <scheme val="minor"/>
    </font>
    <font>
      <sz val="10"/>
      <color rgb="FFFF0000"/>
      <name val="Futura Lt BT"/>
      <family val="2"/>
    </font>
    <font>
      <b/>
      <sz val="11"/>
      <color theme="1"/>
      <name val="Futura Lt BT"/>
      <family val="2"/>
    </font>
    <font>
      <b/>
      <sz val="11"/>
      <name val="Futura Lt BT"/>
      <family val="2"/>
    </font>
    <font>
      <b/>
      <sz val="10"/>
      <name val="Futura Lt BT"/>
      <family val="2"/>
    </font>
    <font>
      <sz val="11"/>
      <color rgb="FF000000"/>
      <name val="Futura Lt BT"/>
      <family val="2"/>
    </font>
    <font>
      <sz val="9"/>
      <color theme="1"/>
      <name val="Futura Lt BT"/>
      <family val="2"/>
    </font>
    <font>
      <sz val="9"/>
      <name val="Futura Lt BT"/>
      <family val="2"/>
    </font>
    <font>
      <b/>
      <sz val="10"/>
      <color rgb="FF000000"/>
      <name val="Futura Lt BT"/>
      <family val="2"/>
    </font>
    <font>
      <sz val="10"/>
      <color rgb="FF303A46"/>
      <name val="Futura Lt BT"/>
      <family val="2"/>
    </font>
    <font>
      <b/>
      <sz val="9"/>
      <name val="Futura Lt BT"/>
      <family val="2"/>
    </font>
    <font>
      <sz val="10"/>
      <color theme="1"/>
      <name val="Calibri"/>
      <family val="2"/>
      <scheme val="minor"/>
    </font>
    <font>
      <b/>
      <sz val="10"/>
      <color rgb="FF303A46"/>
      <name val="Futura Lt BT"/>
      <family val="2"/>
    </font>
    <font>
      <sz val="11"/>
      <color theme="1"/>
      <name val="Arial"/>
      <family val="2"/>
    </font>
    <font>
      <sz val="10"/>
      <color theme="3"/>
      <name val="Futura Bk BT"/>
      <family val="2"/>
    </font>
    <font>
      <sz val="10"/>
      <color theme="3"/>
      <name val="Futura Lt BT"/>
      <family val="2"/>
    </font>
    <font>
      <b/>
      <sz val="11"/>
      <color theme="1"/>
      <name val="Futura Bk BT"/>
      <family val="2"/>
    </font>
    <font>
      <b/>
      <sz val="10"/>
      <color theme="3"/>
      <name val="Futura Bk BT"/>
      <family val="2"/>
    </font>
    <font>
      <sz val="11"/>
      <color rgb="FF000000"/>
      <name val="Calibri"/>
      <family val="2"/>
      <scheme val="minor"/>
    </font>
    <font>
      <b/>
      <sz val="20"/>
      <color theme="3"/>
      <name val="Arial"/>
      <family val="2"/>
    </font>
    <font>
      <b/>
      <sz val="18"/>
      <color theme="3"/>
      <name val="Arial"/>
      <family val="2"/>
    </font>
    <font>
      <sz val="15"/>
      <color theme="1"/>
      <name val="Arial"/>
      <family val="2"/>
    </font>
    <font>
      <sz val="15"/>
      <color theme="1"/>
      <name val="Calibri"/>
      <family val="2"/>
      <scheme val="minor"/>
    </font>
    <font>
      <b/>
      <i/>
      <sz val="18"/>
      <color theme="1"/>
      <name val="Arial"/>
      <family val="2"/>
    </font>
    <font>
      <b/>
      <sz val="15"/>
      <color rgb="FF003366"/>
      <name val="Arial"/>
      <family val="2"/>
    </font>
    <font>
      <b/>
      <sz val="18"/>
      <color rgb="FF003366"/>
      <name val="Arial"/>
      <family val="2"/>
    </font>
    <font>
      <sz val="15"/>
      <color rgb="FF003366"/>
      <name val="Arial"/>
      <family val="2"/>
    </font>
    <font>
      <sz val="72"/>
      <color theme="1"/>
      <name val="Calibri"/>
      <family val="2"/>
      <scheme val="minor"/>
    </font>
    <font>
      <sz val="18"/>
      <color rgb="FF00B050"/>
      <name val="Calibri"/>
      <family val="2"/>
      <scheme val="minor"/>
    </font>
    <font>
      <sz val="15"/>
      <color rgb="FF00B050"/>
      <name val="Calibri"/>
      <family val="2"/>
    </font>
    <font>
      <sz val="20"/>
      <color rgb="FF00B050"/>
      <name val="Wingdings"/>
      <charset val="2"/>
    </font>
    <font>
      <b/>
      <sz val="24"/>
      <color rgb="FF00B050"/>
      <name val="Wingdings"/>
      <charset val="2"/>
    </font>
    <font>
      <b/>
      <sz val="15"/>
      <color rgb="FF00B050"/>
      <name val="Calibri"/>
      <family val="2"/>
    </font>
    <font>
      <sz val="11"/>
      <color rgb="FF00B050"/>
      <name val="Calibri"/>
      <family val="2"/>
      <scheme val="minor"/>
    </font>
    <font>
      <sz val="15"/>
      <color rgb="FF00B050"/>
      <name val="Calibri"/>
      <family val="2"/>
      <scheme val="minor"/>
    </font>
    <font>
      <b/>
      <sz val="15"/>
      <color rgb="FF00B050"/>
      <name val="Calibri"/>
      <family val="2"/>
      <scheme val="minor"/>
    </font>
    <font>
      <b/>
      <sz val="8"/>
      <color rgb="FF00B050"/>
      <name val="Calibri"/>
      <family val="2"/>
      <scheme val="minor"/>
    </font>
    <font>
      <sz val="18"/>
      <color theme="9" tint="-0.249977111117893"/>
      <name val="Calibri"/>
      <family val="2"/>
      <scheme val="minor"/>
    </font>
    <font>
      <sz val="15"/>
      <color theme="9" tint="-0.249977111117893"/>
      <name val="Calibri"/>
      <family val="2"/>
      <scheme val="minor"/>
    </font>
    <font>
      <b/>
      <sz val="20"/>
      <color theme="9" tint="-0.249977111117893"/>
      <name val="Wingdings"/>
      <charset val="2"/>
    </font>
    <font>
      <b/>
      <sz val="24"/>
      <color theme="9" tint="-0.249977111117893"/>
      <name val="Wingdings"/>
      <charset val="2"/>
    </font>
    <font>
      <sz val="15"/>
      <color theme="9" tint="-0.249977111117893"/>
      <name val="Calibri"/>
      <family val="2"/>
    </font>
    <font>
      <b/>
      <sz val="15"/>
      <color theme="9" tint="-0.249977111117893"/>
      <name val="Calibri"/>
      <family val="2"/>
    </font>
    <font>
      <b/>
      <sz val="15"/>
      <color theme="3"/>
      <name val="Calibri"/>
      <family val="2"/>
    </font>
    <font>
      <b/>
      <sz val="15"/>
      <color theme="9" tint="-0.249977111117893"/>
      <name val="Calibri"/>
      <family val="2"/>
      <scheme val="minor"/>
    </font>
    <font>
      <sz val="11"/>
      <color theme="9" tint="-0.249977111117893"/>
      <name val="Calibri"/>
      <family val="2"/>
      <scheme val="minor"/>
    </font>
    <font>
      <b/>
      <sz val="15"/>
      <color theme="0"/>
      <name val="Calibri"/>
      <family val="2"/>
      <scheme val="minor"/>
    </font>
    <font>
      <b/>
      <sz val="15"/>
      <name val="Calibri"/>
      <family val="2"/>
      <scheme val="minor"/>
    </font>
    <font>
      <sz val="18"/>
      <color theme="4"/>
      <name val="Calibri"/>
      <family val="2"/>
      <scheme val="minor"/>
    </font>
    <font>
      <sz val="15"/>
      <color theme="4"/>
      <name val="Calibri"/>
      <family val="2"/>
      <scheme val="minor"/>
    </font>
    <font>
      <b/>
      <sz val="24"/>
      <color theme="4"/>
      <name val="Wingdings"/>
      <charset val="2"/>
    </font>
    <font>
      <b/>
      <sz val="22"/>
      <color theme="4"/>
      <name val="Calibri"/>
      <family val="2"/>
      <scheme val="minor"/>
    </font>
    <font>
      <sz val="11"/>
      <color theme="4"/>
      <name val="Calibri"/>
      <family val="2"/>
      <scheme val="minor"/>
    </font>
    <font>
      <b/>
      <sz val="12"/>
      <color theme="4"/>
      <name val="Calibri"/>
      <family val="2"/>
      <scheme val="minor"/>
    </font>
    <font>
      <b/>
      <sz val="15"/>
      <color theme="4"/>
      <name val="Calibri"/>
      <family val="2"/>
      <scheme val="minor"/>
    </font>
    <font>
      <sz val="20"/>
      <color theme="4"/>
      <name val="Wingdings"/>
      <charset val="2"/>
    </font>
    <font>
      <b/>
      <sz val="15"/>
      <color theme="4"/>
      <name val="Calibri"/>
      <family val="2"/>
    </font>
    <font>
      <sz val="15"/>
      <color theme="4"/>
      <name val="Calibri"/>
      <family val="2"/>
    </font>
    <font>
      <sz val="18"/>
      <color theme="1"/>
      <name val="Calibri"/>
      <family val="2"/>
      <scheme val="minor"/>
    </font>
    <font>
      <sz val="15"/>
      <color rgb="FF000000"/>
      <name val="Segoe UI"/>
      <family val="2"/>
    </font>
    <font>
      <sz val="18"/>
      <color rgb="FF000000"/>
      <name val="Segoe UI"/>
      <family val="2"/>
    </font>
    <font>
      <sz val="15"/>
      <color theme="8"/>
      <name val="Calibri"/>
      <family val="2"/>
      <scheme val="minor"/>
    </font>
    <font>
      <sz val="14"/>
      <color theme="8"/>
      <name val="Calibri"/>
      <family val="2"/>
      <scheme val="minor"/>
    </font>
    <font>
      <b/>
      <sz val="14"/>
      <color rgb="FFFF9900"/>
      <name val="Arial"/>
      <family val="2"/>
    </font>
    <font>
      <b/>
      <sz val="15"/>
      <color rgb="FFFF9900"/>
      <name val="Calibri"/>
      <family val="2"/>
      <scheme val="minor"/>
    </font>
    <font>
      <b/>
      <sz val="14"/>
      <color rgb="FFFF9900"/>
      <name val="Calibri"/>
      <family val="2"/>
      <scheme val="minor"/>
    </font>
    <font>
      <sz val="15"/>
      <color rgb="FFFF9900"/>
      <name val="Calibri"/>
      <family val="2"/>
      <scheme val="minor"/>
    </font>
    <font>
      <sz val="10"/>
      <color theme="4"/>
      <name val="Calibri"/>
      <family val="2"/>
      <scheme val="minor"/>
    </font>
    <font>
      <b/>
      <sz val="10"/>
      <color theme="4"/>
      <name val="Calibri"/>
      <family val="2"/>
      <scheme val="minor"/>
    </font>
    <font>
      <sz val="15"/>
      <color rgb="FF4E586A"/>
      <name val="Segoe UI"/>
      <family val="2"/>
    </font>
    <font>
      <sz val="18"/>
      <color rgb="FF4E586A"/>
      <name val="Segoe UI"/>
      <family val="2"/>
    </font>
    <font>
      <sz val="18"/>
      <color theme="3"/>
      <name val="Calibri Light"/>
      <family val="2"/>
      <scheme val="major"/>
    </font>
    <font>
      <sz val="11"/>
      <color rgb="FF006100"/>
      <name val="Calibri"/>
      <family val="2"/>
      <scheme val="minor"/>
    </font>
    <font>
      <sz val="11"/>
      <color rgb="FF9C0006"/>
      <name val="Calibri"/>
      <family val="2"/>
      <scheme val="minor"/>
    </font>
    <font>
      <sz val="11"/>
      <color rgb="FF9C5700"/>
      <name val="Calibri"/>
      <family val="2"/>
      <scheme val="minor"/>
    </font>
    <font>
      <b/>
      <sz val="11"/>
      <color theme="0"/>
      <name val="Calibri"/>
      <family val="2"/>
      <scheme val="minor"/>
    </font>
    <font>
      <sz val="11"/>
      <color theme="0"/>
      <name val="Calibri"/>
      <family val="2"/>
      <scheme val="minor"/>
    </font>
    <font>
      <u/>
      <sz val="10"/>
      <color indexed="12"/>
      <name val="Arial"/>
      <family val="2"/>
    </font>
    <font>
      <b/>
      <sz val="12"/>
      <name val="Arial"/>
      <family val="2"/>
    </font>
    <font>
      <u/>
      <sz val="11"/>
      <color indexed="12"/>
      <name val="Calibri"/>
      <family val="2"/>
    </font>
    <font>
      <sz val="10"/>
      <color theme="9" tint="-0.499984740745262"/>
      <name val="Arial"/>
      <family val="2"/>
    </font>
    <font>
      <i/>
      <sz val="10"/>
      <color rgb="FFFF0000"/>
      <name val="Arial"/>
      <family val="2"/>
    </font>
    <font>
      <u/>
      <sz val="10"/>
      <color theme="11"/>
      <name val="Arial"/>
      <family val="2"/>
    </font>
    <font>
      <b/>
      <sz val="10"/>
      <color theme="0"/>
      <name val="Arial"/>
      <family val="2"/>
    </font>
    <font>
      <sz val="14"/>
      <color indexed="12"/>
      <name val="Arial"/>
      <family val="2"/>
    </font>
    <font>
      <sz val="14"/>
      <name val="Arial"/>
      <family val="2"/>
    </font>
    <font>
      <b/>
      <sz val="18"/>
      <name val="Arial"/>
      <family val="2"/>
    </font>
    <font>
      <b/>
      <sz val="9"/>
      <name val="Calibri"/>
      <family val="2"/>
      <scheme val="minor"/>
    </font>
    <font>
      <sz val="8"/>
      <color rgb="FF000000"/>
      <name val="Futura Lt BT"/>
      <family val="2"/>
    </font>
    <font>
      <b/>
      <sz val="14"/>
      <color rgb="FF003366"/>
      <name val="Futura Lt BT"/>
      <family val="2"/>
    </font>
    <font>
      <b/>
      <sz val="16"/>
      <color theme="3"/>
      <name val="Arial"/>
      <family val="2"/>
    </font>
    <font>
      <b/>
      <u/>
      <sz val="10"/>
      <color theme="1"/>
      <name val="Futura Lt BT"/>
      <family val="2"/>
    </font>
    <font>
      <sz val="9"/>
      <color theme="1"/>
      <name val="Calibri"/>
      <family val="2"/>
      <scheme val="minor"/>
    </font>
    <font>
      <sz val="12"/>
      <color theme="1"/>
      <name val="Calibri"/>
      <family val="2"/>
      <scheme val="minor"/>
    </font>
    <font>
      <b/>
      <sz val="12"/>
      <color theme="3"/>
      <name val="Futura Lt BT"/>
      <family val="2"/>
    </font>
    <font>
      <u/>
      <sz val="10"/>
      <color theme="10"/>
      <name val="Futura Lt BT"/>
      <family val="2"/>
    </font>
    <font>
      <sz val="9"/>
      <color indexed="81"/>
      <name val="Tahoma"/>
      <family val="2"/>
    </font>
    <font>
      <b/>
      <sz val="9"/>
      <color indexed="81"/>
      <name val="Tahoma"/>
      <family val="2"/>
    </font>
    <font>
      <i/>
      <sz val="10"/>
      <color theme="1"/>
      <name val="Futura Lt BT"/>
      <family val="2"/>
    </font>
    <font>
      <i/>
      <sz val="10"/>
      <name val="Futura Bk BT"/>
      <family val="2"/>
    </font>
    <font>
      <b/>
      <i/>
      <sz val="10"/>
      <name val="Futura Lt BT"/>
      <family val="2"/>
    </font>
    <font>
      <i/>
      <sz val="10"/>
      <name val="Futura Lt BT"/>
      <family val="2"/>
    </font>
    <font>
      <i/>
      <vertAlign val="subscript"/>
      <sz val="10"/>
      <name val="Futura Lt BT"/>
      <family val="2"/>
    </font>
    <font>
      <i/>
      <sz val="6"/>
      <name val="Futura Lt BT"/>
      <family val="2"/>
    </font>
    <font>
      <i/>
      <vertAlign val="subscript"/>
      <sz val="10"/>
      <color indexed="8"/>
      <name val="Futura Lt BT"/>
      <family val="2"/>
    </font>
    <font>
      <sz val="12"/>
      <color theme="1"/>
      <name val="Futura Lt BT"/>
      <family val="2"/>
    </font>
    <font>
      <b/>
      <i/>
      <sz val="11"/>
      <color theme="1"/>
      <name val="Calibri"/>
      <family val="2"/>
      <scheme val="minor"/>
    </font>
    <font>
      <i/>
      <sz val="10"/>
      <color rgb="FF000000"/>
      <name val="Futura Lt BT"/>
      <family val="2"/>
    </font>
    <font>
      <b/>
      <sz val="11"/>
      <color theme="0"/>
      <name val="Futura Lt BT"/>
      <family val="2"/>
    </font>
    <font>
      <u/>
      <sz val="10"/>
      <color theme="10"/>
      <name val="Calibri"/>
      <family val="2"/>
      <scheme val="minor"/>
    </font>
    <font>
      <vertAlign val="subscript"/>
      <sz val="10"/>
      <color theme="1"/>
      <name val="Futura Lt BT"/>
      <family val="2"/>
    </font>
    <font>
      <sz val="10"/>
      <color rgb="FF003366"/>
      <name val="Futura Lt BT"/>
      <family val="2"/>
    </font>
    <font>
      <sz val="10"/>
      <color rgb="FF44546A"/>
      <name val="Futura Lt BT"/>
      <family val="2"/>
    </font>
    <font>
      <sz val="11"/>
      <name val="Calibri"/>
      <family val="2"/>
    </font>
    <font>
      <sz val="8"/>
      <color theme="1"/>
      <name val="Calibri"/>
      <family val="2"/>
      <scheme val="minor"/>
    </font>
    <font>
      <sz val="5"/>
      <color theme="1"/>
      <name val="Futura Lt BT"/>
      <family val="2"/>
    </font>
    <font>
      <sz val="8"/>
      <color rgb="FF000000"/>
      <name val="Calibri"/>
      <family val="2"/>
    </font>
    <font>
      <b/>
      <sz val="8"/>
      <color rgb="FF000000"/>
      <name val="Futura Lt BT"/>
      <family val="2"/>
    </font>
    <font>
      <b/>
      <sz val="8"/>
      <color rgb="FF44546A"/>
      <name val="Futura Lt BT"/>
      <family val="2"/>
    </font>
    <font>
      <sz val="11"/>
      <color rgb="FF000000"/>
      <name val="Futura Lt BT"/>
    </font>
    <font>
      <vertAlign val="superscript"/>
      <sz val="11"/>
      <color rgb="FF000000"/>
      <name val="Futura Lt BT"/>
    </font>
    <font>
      <sz val="7.95"/>
      <color rgb="FF004F53"/>
      <name val="Inter"/>
    </font>
  </fonts>
  <fills count="78">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FFFFF"/>
        <bgColor rgb="FF000000"/>
      </patternFill>
    </fill>
    <fill>
      <patternFill patternType="solid">
        <fgColor rgb="FF92D050"/>
        <bgColor indexed="64"/>
      </patternFill>
    </fill>
    <fill>
      <patternFill patternType="solid">
        <fgColor rgb="FF00B050"/>
        <bgColor indexed="64"/>
      </patternFill>
    </fill>
    <fill>
      <patternFill patternType="solid">
        <fgColor rgb="FFFF9900"/>
        <bgColor indexed="64"/>
      </patternFill>
    </fill>
    <fill>
      <patternFill patternType="solid">
        <fgColor rgb="FFFF0000"/>
        <bgColor indexed="64"/>
      </patternFill>
    </fill>
    <fill>
      <patternFill patternType="solid">
        <fgColor theme="9" tint="-0.249977111117893"/>
        <bgColor indexed="64"/>
      </patternFill>
    </fill>
    <fill>
      <patternFill patternType="solid">
        <fgColor indexed="65"/>
        <bgColor indexed="64"/>
      </patternFill>
    </fill>
    <fill>
      <patternFill patternType="solid">
        <fgColor rgb="FFFFC000"/>
        <bgColor indexed="64"/>
      </patternFill>
    </fill>
    <fill>
      <patternFill patternType="solid">
        <fgColor theme="4"/>
        <bgColor indexed="64"/>
      </patternFill>
    </fill>
    <fill>
      <patternFill patternType="solid">
        <fgColor theme="5"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99FF"/>
        <bgColor indexed="64"/>
      </patternFill>
    </fill>
    <fill>
      <patternFill patternType="solid">
        <fgColor theme="7" tint="0.39997558519241921"/>
        <bgColor rgb="FF000000"/>
      </patternFill>
    </fill>
    <fill>
      <patternFill patternType="solid">
        <fgColor rgb="FFFFFF99"/>
        <bgColor indexed="64"/>
      </patternFill>
    </fill>
    <fill>
      <patternFill patternType="solid">
        <fgColor rgb="FFFFFF99"/>
        <bgColor rgb="FF000000"/>
      </patternFill>
    </fill>
    <fill>
      <patternFill patternType="solid">
        <fgColor rgb="FF002060"/>
        <bgColor indexed="64"/>
      </patternFill>
    </fill>
    <fill>
      <patternFill patternType="solid">
        <fgColor theme="4" tint="0.79998168889431442"/>
        <bgColor rgb="FF000000"/>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1" tint="0.34998626667073579"/>
        <bgColor indexed="64"/>
      </patternFill>
    </fill>
    <fill>
      <patternFill patternType="solid">
        <fgColor theme="0"/>
        <bgColor rgb="FF000000"/>
      </patternFill>
    </fill>
    <fill>
      <patternFill patternType="solid">
        <fgColor rgb="FFFFFFFF"/>
        <bgColor indexed="64"/>
      </patternFill>
    </fill>
    <fill>
      <patternFill patternType="solid">
        <fgColor theme="4" tint="-0.249977111117893"/>
        <bgColor indexed="64"/>
      </patternFill>
    </fill>
    <fill>
      <patternFill patternType="lightUp"/>
    </fill>
    <fill>
      <patternFill patternType="lightUp">
        <fgColor theme="2" tint="-0.499984740745262"/>
        <bgColor theme="4" tint="0.79995117038483843"/>
      </patternFill>
    </fill>
    <fill>
      <patternFill patternType="lightUp">
        <bgColor theme="0" tint="-4.9989318521683403E-2"/>
      </patternFill>
    </fill>
    <fill>
      <patternFill patternType="solid">
        <fgColor theme="9" tint="0.59999389629810485"/>
        <bgColor indexed="64"/>
      </patternFill>
    </fill>
    <fill>
      <patternFill patternType="solid">
        <fgColor theme="9" tint="0.39997558519241921"/>
        <bgColor indexed="64"/>
      </patternFill>
    </fill>
    <fill>
      <patternFill patternType="solid">
        <fgColor theme="2"/>
        <bgColor indexed="64"/>
      </patternFill>
    </fill>
    <fill>
      <patternFill patternType="solid">
        <fgColor theme="4" tint="0.59999389629810485"/>
        <bgColor rgb="FF000000"/>
      </patternFill>
    </fill>
    <fill>
      <patternFill patternType="lightUp">
        <bgColor theme="4" tint="0.59999389629810485"/>
      </patternFill>
    </fill>
    <fill>
      <patternFill patternType="solid">
        <fgColor theme="8" tint="0.39997558519241921"/>
        <bgColor indexed="64"/>
      </patternFill>
    </fill>
    <fill>
      <patternFill patternType="solid">
        <fgColor theme="8" tint="0.59999389629810485"/>
        <bgColor indexed="64"/>
      </patternFill>
    </fill>
    <fill>
      <patternFill patternType="lightUp">
        <bgColor theme="0"/>
      </patternFill>
    </fill>
    <fill>
      <patternFill patternType="solid">
        <fgColor indexed="65"/>
        <bgColor theme="0"/>
      </patternFill>
    </fill>
    <fill>
      <patternFill patternType="lightUp">
        <fgColor theme="0"/>
      </patternFill>
    </fill>
    <fill>
      <patternFill patternType="solid">
        <fgColor theme="0" tint="-4.9989318521683403E-2"/>
        <bgColor theme="0"/>
      </patternFill>
    </fill>
    <fill>
      <patternFill patternType="lightUp">
        <fgColor theme="0"/>
        <bgColor theme="0" tint="-4.9989318521683403E-2"/>
      </patternFill>
    </fill>
    <fill>
      <patternFill patternType="solid">
        <fgColor theme="7" tint="0.59999389629810485"/>
        <bgColor indexed="64"/>
      </patternFill>
    </fill>
    <fill>
      <patternFill patternType="lightUp">
        <fgColor theme="0"/>
        <bgColor theme="7" tint="0.59999389629810485"/>
      </patternFill>
    </fill>
  </fills>
  <borders count="5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hair">
        <color auto="1"/>
      </left>
      <right style="medium">
        <color auto="1"/>
      </right>
      <top style="thin">
        <color auto="1"/>
      </top>
      <bottom style="thin">
        <color auto="1"/>
      </bottom>
      <diagonal/>
    </border>
    <border>
      <left style="hair">
        <color auto="1"/>
      </left>
      <right style="medium">
        <color auto="1"/>
      </right>
      <top/>
      <bottom style="medium">
        <color auto="1"/>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auto="1"/>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auto="1"/>
      </left>
      <right style="hair">
        <color auto="1"/>
      </right>
      <top style="medium">
        <color auto="1"/>
      </top>
      <bottom style="thin">
        <color auto="1"/>
      </bottom>
      <diagonal/>
    </border>
    <border>
      <left style="hair">
        <color auto="1"/>
      </left>
      <right style="medium">
        <color auto="1"/>
      </right>
      <top style="medium">
        <color auto="1"/>
      </top>
      <bottom style="thin">
        <color auto="1"/>
      </bottom>
      <diagonal/>
    </border>
    <border>
      <left style="medium">
        <color auto="1"/>
      </left>
      <right style="hair">
        <color auto="1"/>
      </right>
      <top style="thin">
        <color auto="1"/>
      </top>
      <bottom/>
      <diagonal/>
    </border>
    <border>
      <left style="hair">
        <color auto="1"/>
      </left>
      <right style="medium">
        <color auto="1"/>
      </right>
      <top style="thin">
        <color auto="1"/>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bottom style="thin">
        <color indexed="64"/>
      </bottom>
      <diagonal/>
    </border>
    <border>
      <left/>
      <right/>
      <top/>
      <bottom style="medium">
        <color auto="1"/>
      </bottom>
      <diagonal/>
    </border>
    <border>
      <left style="medium">
        <color indexed="64"/>
      </left>
      <right style="medium">
        <color indexed="64"/>
      </right>
      <top style="dashed">
        <color indexed="64"/>
      </top>
      <bottom style="medium">
        <color indexed="64"/>
      </bottom>
      <diagonal/>
    </border>
    <border>
      <left style="medium">
        <color auto="1"/>
      </left>
      <right/>
      <top style="dotted">
        <color auto="1"/>
      </top>
      <bottom style="medium">
        <color auto="1"/>
      </bottom>
      <diagonal/>
    </border>
    <border>
      <left style="medium">
        <color auto="1"/>
      </left>
      <right style="medium">
        <color auto="1"/>
      </right>
      <top style="dotted">
        <color auto="1"/>
      </top>
      <bottom style="medium">
        <color auto="1"/>
      </bottom>
      <diagonal/>
    </border>
    <border>
      <left style="medium">
        <color indexed="64"/>
      </left>
      <right style="medium">
        <color indexed="64"/>
      </right>
      <top style="dashed">
        <color indexed="64"/>
      </top>
      <bottom style="dashed">
        <color indexed="64"/>
      </bottom>
      <diagonal/>
    </border>
    <border>
      <left style="medium">
        <color auto="1"/>
      </left>
      <right/>
      <top style="dotted">
        <color auto="1"/>
      </top>
      <bottom style="dotted">
        <color auto="1"/>
      </bottom>
      <diagonal/>
    </border>
    <border>
      <left style="medium">
        <color auto="1"/>
      </left>
      <right style="medium">
        <color auto="1"/>
      </right>
      <top style="dotted">
        <color auto="1"/>
      </top>
      <bottom style="dotted">
        <color auto="1"/>
      </bottom>
      <diagonal/>
    </border>
    <border>
      <left style="medium">
        <color auto="1"/>
      </left>
      <right style="medium">
        <color auto="1"/>
      </right>
      <top style="medium">
        <color auto="1"/>
      </top>
      <bottom style="dotted">
        <color auto="1"/>
      </bottom>
      <diagonal/>
    </border>
    <border>
      <left style="medium">
        <color indexed="64"/>
      </left>
      <right style="medium">
        <color indexed="64"/>
      </right>
      <top style="medium">
        <color indexed="64"/>
      </top>
      <bottom style="dashed">
        <color indexed="64"/>
      </bottom>
      <diagonal/>
    </border>
    <border>
      <left style="thin">
        <color indexed="64"/>
      </left>
      <right/>
      <top/>
      <bottom/>
      <diagonal/>
    </border>
    <border>
      <left style="thin">
        <color auto="1"/>
      </left>
      <right style="thin">
        <color auto="1"/>
      </right>
      <top style="thin">
        <color auto="1"/>
      </top>
      <bottom style="thick">
        <color indexed="64"/>
      </bottom>
      <diagonal/>
    </border>
    <border>
      <left style="thick">
        <color indexed="64"/>
      </left>
      <right style="thin">
        <color auto="1"/>
      </right>
      <top/>
      <bottom style="thick">
        <color indexed="64"/>
      </bottom>
      <diagonal/>
    </border>
    <border>
      <left style="thin">
        <color auto="1"/>
      </left>
      <right style="thin">
        <color auto="1"/>
      </right>
      <top style="thick">
        <color indexed="64"/>
      </top>
      <bottom style="thin">
        <color auto="1"/>
      </bottom>
      <diagonal/>
    </border>
    <border>
      <left style="thick">
        <color indexed="64"/>
      </left>
      <right style="thin">
        <color auto="1"/>
      </right>
      <top style="thick">
        <color indexed="64"/>
      </top>
      <bottom/>
      <diagonal/>
    </border>
    <border>
      <left style="thick">
        <color indexed="64"/>
      </left>
      <right/>
      <top style="thick">
        <color indexed="64"/>
      </top>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bottom/>
      <diagonal/>
    </border>
    <border>
      <left/>
      <right style="thick">
        <color indexed="64"/>
      </right>
      <top style="thin">
        <color indexed="64"/>
      </top>
      <bottom style="thin">
        <color indexed="64"/>
      </bottom>
      <diagonal/>
    </border>
    <border>
      <left style="thick">
        <color indexed="64"/>
      </left>
      <right/>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style="thick">
        <color indexed="64"/>
      </right>
      <top/>
      <bottom style="thin">
        <color indexed="64"/>
      </bottom>
      <diagonal/>
    </border>
    <border>
      <left style="thick">
        <color indexed="64"/>
      </left>
      <right/>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style="thick">
        <color indexed="64"/>
      </bottom>
      <diagonal/>
    </border>
    <border>
      <left/>
      <right style="thick">
        <color indexed="64"/>
      </right>
      <top style="thin">
        <color indexed="64"/>
      </top>
      <bottom/>
      <diagonal/>
    </border>
    <border>
      <left/>
      <right/>
      <top style="thick">
        <color indexed="64"/>
      </top>
      <bottom/>
      <diagonal/>
    </border>
    <border>
      <left style="thin">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dashed">
        <color indexed="64"/>
      </top>
      <bottom style="dashed">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diagonal/>
    </border>
    <border>
      <left style="medium">
        <color indexed="64"/>
      </left>
      <right style="thin">
        <color indexed="64"/>
      </right>
      <top style="dashed">
        <color indexed="64"/>
      </top>
      <bottom/>
      <diagonal/>
    </border>
    <border>
      <left style="medium">
        <color indexed="64"/>
      </left>
      <right style="thin">
        <color indexed="64"/>
      </right>
      <top/>
      <bottom style="dashed">
        <color indexed="64"/>
      </bottom>
      <diagonal/>
    </border>
    <border>
      <left style="thin">
        <color indexed="64"/>
      </left>
      <right/>
      <top style="medium">
        <color indexed="64"/>
      </top>
      <bottom style="medium">
        <color indexed="64"/>
      </bottom>
      <diagonal/>
    </border>
    <border>
      <left/>
      <right style="thick">
        <color indexed="64"/>
      </right>
      <top/>
      <bottom/>
      <diagonal/>
    </border>
    <border>
      <left style="thin">
        <color indexed="64"/>
      </left>
      <right style="thick">
        <color indexed="64"/>
      </right>
      <top style="thin">
        <color indexed="64"/>
      </top>
      <bottom/>
      <diagonal/>
    </border>
    <border>
      <left style="thin">
        <color indexed="64"/>
      </left>
      <right style="thick">
        <color indexed="64"/>
      </right>
      <top/>
      <bottom style="thin">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auto="1"/>
      </left>
      <right/>
      <top style="thick">
        <color indexed="64"/>
      </top>
      <bottom style="thin">
        <color auto="1"/>
      </bottom>
      <diagonal/>
    </border>
    <border>
      <left/>
      <right style="thin">
        <color auto="1"/>
      </right>
      <top style="thin">
        <color auto="1"/>
      </top>
      <bottom style="thick">
        <color indexed="64"/>
      </bottom>
      <diagonal/>
    </border>
    <border>
      <left style="medium">
        <color indexed="64"/>
      </left>
      <right/>
      <top style="thin">
        <color indexed="64"/>
      </top>
      <bottom/>
      <diagonal/>
    </border>
    <border>
      <left/>
      <right style="hair">
        <color auto="1"/>
      </right>
      <top style="medium">
        <color auto="1"/>
      </top>
      <bottom style="thin">
        <color auto="1"/>
      </bottom>
      <diagonal/>
    </border>
    <border>
      <left/>
      <right style="hair">
        <color auto="1"/>
      </right>
      <top style="thin">
        <color auto="1"/>
      </top>
      <bottom/>
      <diagonal/>
    </border>
    <border>
      <left style="hair">
        <color auto="1"/>
      </left>
      <right/>
      <top style="medium">
        <color auto="1"/>
      </top>
      <bottom style="thin">
        <color auto="1"/>
      </bottom>
      <diagonal/>
    </border>
    <border>
      <left style="hair">
        <color auto="1"/>
      </left>
      <right/>
      <top style="thin">
        <color auto="1"/>
      </top>
      <bottom/>
      <diagonal/>
    </border>
    <border>
      <left style="hair">
        <color auto="1"/>
      </left>
      <right/>
      <top style="thin">
        <color auto="1"/>
      </top>
      <bottom style="thin">
        <color auto="1"/>
      </bottom>
      <diagonal/>
    </border>
    <border>
      <left style="hair">
        <color auto="1"/>
      </left>
      <right/>
      <top/>
      <bottom style="medium">
        <color auto="1"/>
      </bottom>
      <diagonal/>
    </border>
    <border>
      <left style="thin">
        <color auto="1"/>
      </left>
      <right style="hair">
        <color auto="1"/>
      </right>
      <top style="medium">
        <color auto="1"/>
      </top>
      <bottom style="thin">
        <color auto="1"/>
      </bottom>
      <diagonal/>
    </border>
    <border>
      <left style="hair">
        <color auto="1"/>
      </left>
      <right style="thin">
        <color auto="1"/>
      </right>
      <top style="medium">
        <color auto="1"/>
      </top>
      <bottom style="thin">
        <color auto="1"/>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style="hair">
        <color auto="1"/>
      </left>
      <right style="thin">
        <color auto="1"/>
      </right>
      <top style="thin">
        <color auto="1"/>
      </top>
      <bottom style="thin">
        <color auto="1"/>
      </bottom>
      <diagonal/>
    </border>
    <border>
      <left style="thin">
        <color auto="1"/>
      </left>
      <right/>
      <top/>
      <bottom style="medium">
        <color auto="1"/>
      </bottom>
      <diagonal/>
    </border>
    <border>
      <left style="hair">
        <color auto="1"/>
      </left>
      <right style="thin">
        <color auto="1"/>
      </right>
      <top/>
      <bottom style="medium">
        <color auto="1"/>
      </bottom>
      <diagonal/>
    </border>
    <border>
      <left/>
      <right style="medium">
        <color auto="1"/>
      </right>
      <top/>
      <bottom/>
      <diagonal/>
    </border>
    <border>
      <left/>
      <right style="medium">
        <color auto="1"/>
      </right>
      <top/>
      <bottom style="medium">
        <color auto="1"/>
      </bottom>
      <diagonal/>
    </border>
    <border>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rgb="FFFFFFFF"/>
      </right>
      <top/>
      <bottom style="medium">
        <color rgb="FFFFFFFF"/>
      </bottom>
      <diagonal/>
    </border>
    <border>
      <left style="medium">
        <color rgb="FFFFFFFF"/>
      </left>
      <right/>
      <top/>
      <bottom style="medium">
        <color rgb="FFFFFFFF"/>
      </bottom>
      <diagonal/>
    </border>
    <border>
      <left/>
      <right style="medium">
        <color rgb="FFFFFFFF"/>
      </right>
      <top/>
      <bottom/>
      <diagonal/>
    </border>
    <border>
      <left style="medium">
        <color rgb="FFFFFFFF"/>
      </left>
      <right/>
      <top/>
      <bottom/>
      <diagonal/>
    </border>
    <border>
      <left/>
      <right style="medium">
        <color rgb="FFFFFFFF"/>
      </right>
      <top style="medium">
        <color rgb="FFFFFFFF"/>
      </top>
      <bottom/>
      <diagonal/>
    </border>
    <border>
      <left/>
      <right/>
      <top style="medium">
        <color rgb="FFFFFFFF"/>
      </top>
      <bottom/>
      <diagonal/>
    </border>
    <border>
      <left style="medium">
        <color rgb="FFFFFFFF"/>
      </left>
      <right/>
      <top style="medium">
        <color rgb="FFFFFFFF"/>
      </top>
      <bottom/>
      <diagonal/>
    </border>
    <border>
      <left/>
      <right style="medium">
        <color rgb="FFFFFFFF"/>
      </right>
      <top style="medium">
        <color rgb="FFFFFFFF"/>
      </top>
      <bottom style="medium">
        <color rgb="FFFFFFFF"/>
      </bottom>
      <diagonal/>
    </border>
    <border>
      <left/>
      <right/>
      <top style="medium">
        <color rgb="FFFFFFFF"/>
      </top>
      <bottom style="medium">
        <color rgb="FFFFFFFF"/>
      </bottom>
      <diagonal/>
    </border>
    <border>
      <left style="medium">
        <color rgb="FFFFFFFF"/>
      </left>
      <right/>
      <top style="medium">
        <color rgb="FFFFFFFF"/>
      </top>
      <bottom style="medium">
        <color rgb="FFFFFFFF"/>
      </bottom>
      <diagonal/>
    </border>
    <border>
      <left style="medium">
        <color rgb="FFFFFFFF"/>
      </left>
      <right style="medium">
        <color rgb="FFFFFFFF"/>
      </right>
      <top/>
      <bottom style="medium">
        <color rgb="FFFFFFFF"/>
      </bottom>
      <diagonal/>
    </border>
    <border>
      <left style="medium">
        <color rgb="FFFFFFFF"/>
      </left>
      <right style="medium">
        <color rgb="FFFFFFFF"/>
      </right>
      <top/>
      <bottom/>
      <diagonal/>
    </border>
    <border>
      <left style="medium">
        <color rgb="FFFFFFFF"/>
      </left>
      <right style="medium">
        <color rgb="FFFFFFFF"/>
      </right>
      <top style="medium">
        <color rgb="FFFFFFFF"/>
      </top>
      <bottom/>
      <diagonal/>
    </border>
    <border>
      <left style="medium">
        <color rgb="FFFFFFFF"/>
      </left>
      <right style="medium">
        <color rgb="FFFFFFFF"/>
      </right>
      <top style="medium">
        <color rgb="FFFFFFFF"/>
      </top>
      <bottom style="medium">
        <color rgb="FFFFFFFF"/>
      </bottom>
      <diagonal/>
    </border>
    <border>
      <left/>
      <right/>
      <top/>
      <bottom style="medium">
        <color rgb="FFFFFFFF"/>
      </bottom>
      <diagonal/>
    </border>
    <border>
      <left/>
      <right style="medium">
        <color rgb="FFFFFFFF"/>
      </right>
      <top style="thick">
        <color rgb="FFFFFFFF"/>
      </top>
      <bottom/>
      <diagonal/>
    </border>
    <border>
      <left/>
      <right/>
      <top style="thick">
        <color rgb="FFFFFFFF"/>
      </top>
      <bottom/>
      <diagonal/>
    </border>
    <border>
      <left style="medium">
        <color rgb="FFFFFFFF"/>
      </left>
      <right/>
      <top style="thick">
        <color rgb="FFFFFFFF"/>
      </top>
      <bottom/>
      <diagonal/>
    </border>
    <border>
      <left/>
      <right style="medium">
        <color rgb="FFFFFFFF"/>
      </right>
      <top style="medium">
        <color rgb="FFFFFFFF"/>
      </top>
      <bottom style="thick">
        <color rgb="FFFFFFFF"/>
      </bottom>
      <diagonal/>
    </border>
    <border>
      <left style="medium">
        <color rgb="FFFFFFFF"/>
      </left>
      <right/>
      <top style="medium">
        <color rgb="FFFFFFFF"/>
      </top>
      <bottom style="thick">
        <color rgb="FFFFFFFF"/>
      </bottom>
      <diagonal/>
    </border>
    <border>
      <left style="medium">
        <color rgb="FFFFFFFF"/>
      </left>
      <right style="medium">
        <color rgb="FFFFFFFF"/>
      </right>
      <top style="medium">
        <color rgb="FFFFFFFF"/>
      </top>
      <bottom style="thick">
        <color rgb="FFFFFFFF"/>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thin">
        <color indexed="64"/>
      </bottom>
      <diagonal/>
    </border>
    <border>
      <left style="thick">
        <color indexed="64"/>
      </left>
      <right/>
      <top style="thick">
        <color indexed="64"/>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dashed">
        <color indexed="64"/>
      </bottom>
      <diagonal/>
    </border>
    <border>
      <left style="thin">
        <color auto="1"/>
      </left>
      <right style="thin">
        <color auto="1"/>
      </right>
      <top/>
      <bottom style="thick">
        <color indexed="64"/>
      </bottom>
      <diagonal/>
    </border>
    <border>
      <left style="thick">
        <color indexed="64"/>
      </left>
      <right style="thin">
        <color auto="1"/>
      </right>
      <top/>
      <bottom/>
      <diagonal/>
    </border>
    <border>
      <left style="medium">
        <color indexed="64"/>
      </left>
      <right style="thin">
        <color indexed="64"/>
      </right>
      <top/>
      <bottom/>
      <diagonal/>
    </border>
    <border>
      <left style="thin">
        <color auto="1"/>
      </left>
      <right style="thin">
        <color indexed="64"/>
      </right>
      <top style="thin">
        <color auto="1"/>
      </top>
      <bottom style="thin">
        <color theme="0"/>
      </bottom>
      <diagonal/>
    </border>
    <border>
      <left style="thin">
        <color auto="1"/>
      </left>
      <right style="thin">
        <color indexed="64"/>
      </right>
      <top/>
      <bottom style="thin">
        <color theme="0"/>
      </bottom>
      <diagonal/>
    </border>
    <border>
      <left style="thin">
        <color auto="1"/>
      </left>
      <right style="thin">
        <color indexed="64"/>
      </right>
      <top style="thin">
        <color theme="0"/>
      </top>
      <bottom style="thin">
        <color theme="0"/>
      </bottom>
      <diagonal/>
    </border>
    <border>
      <left style="thin">
        <color auto="1"/>
      </left>
      <right style="thin">
        <color indexed="64"/>
      </right>
      <top style="thin">
        <color theme="0"/>
      </top>
      <bottom/>
      <diagonal/>
    </border>
    <border>
      <left style="thin">
        <color indexed="64"/>
      </left>
      <right style="thin">
        <color indexed="64"/>
      </right>
      <top style="thin">
        <color theme="0"/>
      </top>
      <bottom style="medium">
        <color indexed="64"/>
      </bottom>
      <diagonal/>
    </border>
    <border>
      <left style="thin">
        <color auto="1"/>
      </left>
      <right style="thin">
        <color indexed="64"/>
      </right>
      <top style="thin">
        <color theme="0"/>
      </top>
      <bottom style="thin">
        <color indexed="64"/>
      </bottom>
      <diagonal/>
    </border>
    <border>
      <left style="thin">
        <color indexed="64"/>
      </left>
      <right style="thin">
        <color indexed="64"/>
      </right>
      <top style="medium">
        <color indexed="64"/>
      </top>
      <bottom style="thin">
        <color theme="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BFBFBF"/>
      </left>
      <right style="thin">
        <color rgb="FFBFBFBF"/>
      </right>
      <top style="thin">
        <color rgb="FFBFBFBF"/>
      </top>
      <bottom style="thin">
        <color rgb="FFBFBFBF"/>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right style="thin">
        <color auto="1"/>
      </right>
      <top/>
      <bottom style="thick">
        <color indexed="64"/>
      </bottom>
      <diagonal/>
    </border>
    <border>
      <left/>
      <right/>
      <top style="thick">
        <color indexed="64"/>
      </top>
      <bottom style="thick">
        <color indexed="64"/>
      </bottom>
      <diagonal/>
    </border>
    <border>
      <left style="thick">
        <color indexed="64"/>
      </left>
      <right style="thin">
        <color indexed="64"/>
      </right>
      <top/>
      <bottom style="thin">
        <color indexed="64"/>
      </bottom>
      <diagonal/>
    </border>
    <border>
      <left style="thin">
        <color indexed="64"/>
      </left>
      <right style="thick">
        <color indexed="64"/>
      </right>
      <top/>
      <bottom/>
      <diagonal/>
    </border>
    <border>
      <left style="thick">
        <color indexed="64"/>
      </left>
      <right style="thick">
        <color indexed="64"/>
      </right>
      <top style="thin">
        <color indexed="64"/>
      </top>
      <bottom style="medium">
        <color indexed="64"/>
      </bottom>
      <diagonal/>
    </border>
    <border>
      <left style="thick">
        <color indexed="64"/>
      </left>
      <right style="thick">
        <color indexed="64"/>
      </right>
      <top style="medium">
        <color indexed="64"/>
      </top>
      <bottom style="thin">
        <color indexed="64"/>
      </bottom>
      <diagonal/>
    </border>
    <border>
      <left/>
      <right/>
      <top style="thick">
        <color indexed="64"/>
      </top>
      <bottom style="medium">
        <color indexed="64"/>
      </bottom>
      <diagonal/>
    </border>
    <border>
      <left style="thin">
        <color indexed="64"/>
      </left>
      <right style="thick">
        <color indexed="64"/>
      </right>
      <top style="thin">
        <color indexed="64"/>
      </top>
      <bottom style="medium">
        <color indexed="64"/>
      </bottom>
      <diagonal/>
    </border>
    <border>
      <left style="thin">
        <color indexed="64"/>
      </left>
      <right style="thick">
        <color indexed="64"/>
      </right>
      <top/>
      <bottom style="medium">
        <color indexed="64"/>
      </bottom>
      <diagonal/>
    </border>
    <border>
      <left style="thin">
        <color indexed="64"/>
      </left>
      <right style="thick">
        <color indexed="64"/>
      </right>
      <top style="medium">
        <color indexed="64"/>
      </top>
      <bottom style="thin">
        <color indexed="64"/>
      </bottom>
      <diagonal/>
    </border>
    <border>
      <left style="thin">
        <color indexed="64"/>
      </left>
      <right style="thick">
        <color indexed="64"/>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auto="1"/>
      </left>
      <right style="hair">
        <color auto="1"/>
      </right>
      <top style="medium">
        <color auto="1"/>
      </top>
      <bottom/>
      <diagonal/>
    </border>
    <border>
      <left style="thin">
        <color indexed="64"/>
      </left>
      <right style="medium">
        <color indexed="64"/>
      </right>
      <top style="thick">
        <color indexed="64"/>
      </top>
      <bottom/>
      <diagonal/>
    </border>
    <border>
      <left style="thin">
        <color indexed="64"/>
      </left>
      <right style="medium">
        <color indexed="64"/>
      </right>
      <top/>
      <bottom style="thick">
        <color indexed="64"/>
      </bottom>
      <diagonal/>
    </border>
    <border>
      <left style="thin">
        <color auto="1"/>
      </left>
      <right style="thick">
        <color indexed="64"/>
      </right>
      <top style="thick">
        <color indexed="64"/>
      </top>
      <bottom style="medium">
        <color indexed="64"/>
      </bottom>
      <diagonal/>
    </border>
    <border>
      <left style="thin">
        <color auto="1"/>
      </left>
      <right/>
      <top style="thick">
        <color indexed="64"/>
      </top>
      <bottom style="medium">
        <color indexed="64"/>
      </bottom>
      <diagonal/>
    </border>
    <border>
      <left style="thick">
        <color indexed="64"/>
      </left>
      <right style="thin">
        <color indexed="64"/>
      </right>
      <top style="thick">
        <color indexed="64"/>
      </top>
      <bottom style="medium">
        <color indexed="64"/>
      </bottom>
      <diagonal/>
    </border>
    <border>
      <left style="thin">
        <color auto="1"/>
      </left>
      <right style="thin">
        <color auto="1"/>
      </right>
      <top style="thick">
        <color indexed="64"/>
      </top>
      <bottom style="medium">
        <color indexed="64"/>
      </bottom>
      <diagonal/>
    </border>
    <border>
      <left/>
      <right style="thin">
        <color indexed="64"/>
      </right>
      <top style="thick">
        <color indexed="64"/>
      </top>
      <bottom style="medium">
        <color indexed="64"/>
      </bottom>
      <diagonal/>
    </border>
    <border>
      <left/>
      <right style="medium">
        <color indexed="64"/>
      </right>
      <top style="dashed">
        <color indexed="64"/>
      </top>
      <bottom style="dashed">
        <color indexed="64"/>
      </bottom>
      <diagonal/>
    </border>
    <border>
      <left/>
      <right style="medium">
        <color indexed="64"/>
      </right>
      <top style="dashed">
        <color indexed="64"/>
      </top>
      <bottom style="medium">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style="dashed">
        <color indexed="64"/>
      </bottom>
      <diagonal/>
    </border>
    <border>
      <left style="medium">
        <color indexed="64"/>
      </left>
      <right/>
      <top style="dashed">
        <color indexed="64"/>
      </top>
      <bottom style="medium">
        <color indexed="64"/>
      </bottom>
      <diagonal/>
    </border>
    <border>
      <left style="medium">
        <color indexed="64"/>
      </left>
      <right/>
      <top style="medium">
        <color indexed="64"/>
      </top>
      <bottom style="dashed">
        <color indexed="64"/>
      </bottom>
      <diagonal/>
    </border>
    <border>
      <left style="medium">
        <color indexed="64"/>
      </left>
      <right style="thick">
        <color indexed="64"/>
      </right>
      <top style="dashed">
        <color indexed="64"/>
      </top>
      <bottom style="dashed">
        <color indexed="64"/>
      </bottom>
      <diagonal/>
    </border>
    <border>
      <left style="medium">
        <color indexed="64"/>
      </left>
      <right style="thick">
        <color indexed="64"/>
      </right>
      <top style="dashed">
        <color indexed="64"/>
      </top>
      <bottom style="medium">
        <color indexed="64"/>
      </bottom>
      <diagonal/>
    </border>
    <border>
      <left style="medium">
        <color indexed="64"/>
      </left>
      <right style="thick">
        <color indexed="64"/>
      </right>
      <top style="medium">
        <color indexed="64"/>
      </top>
      <bottom style="dashed">
        <color indexed="64"/>
      </bottom>
      <diagonal/>
    </border>
    <border>
      <left style="medium">
        <color indexed="64"/>
      </left>
      <right style="thick">
        <color indexed="64"/>
      </right>
      <top style="medium">
        <color indexed="64"/>
      </top>
      <bottom/>
      <diagonal/>
    </border>
    <border>
      <left style="medium">
        <color indexed="64"/>
      </left>
      <right style="thick">
        <color indexed="64"/>
      </right>
      <top style="dashed">
        <color indexed="64"/>
      </top>
      <bottom/>
      <diagonal/>
    </border>
    <border>
      <left style="medium">
        <color indexed="64"/>
      </left>
      <right style="medium">
        <color indexed="64"/>
      </right>
      <top style="thick">
        <color indexed="64"/>
      </top>
      <bottom style="medium">
        <color indexed="64"/>
      </bottom>
      <diagonal/>
    </border>
    <border>
      <left style="thick">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ck">
        <color indexed="64"/>
      </right>
      <top/>
      <bottom style="thin">
        <color indexed="64"/>
      </bottom>
      <diagonal/>
    </border>
    <border>
      <left/>
      <right style="thick">
        <color indexed="64"/>
      </right>
      <top style="medium">
        <color indexed="64"/>
      </top>
      <bottom style="medium">
        <color indexed="64"/>
      </bottom>
      <diagonal/>
    </border>
    <border>
      <left style="medium">
        <color indexed="64"/>
      </left>
      <right/>
      <top style="thick">
        <color indexed="64"/>
      </top>
      <bottom/>
      <diagonal/>
    </border>
    <border>
      <left style="medium">
        <color indexed="64"/>
      </left>
      <right style="thick">
        <color indexed="64"/>
      </right>
      <top/>
      <bottom/>
      <diagonal/>
    </border>
    <border>
      <left style="medium">
        <color indexed="64"/>
      </left>
      <right style="thick">
        <color indexed="64"/>
      </right>
      <top style="thin">
        <color indexed="64"/>
      </top>
      <bottom style="thick">
        <color indexed="64"/>
      </bottom>
      <diagonal/>
    </border>
    <border>
      <left style="medium">
        <color indexed="64"/>
      </left>
      <right style="thick">
        <color indexed="64"/>
      </right>
      <top style="medium">
        <color indexed="64"/>
      </top>
      <bottom style="thin">
        <color indexed="64"/>
      </bottom>
      <diagonal/>
    </border>
    <border>
      <left style="medium">
        <color indexed="64"/>
      </left>
      <right style="thick">
        <color indexed="64"/>
      </right>
      <top style="thin">
        <color indexed="64"/>
      </top>
      <bottom style="thin">
        <color indexed="64"/>
      </bottom>
      <diagonal/>
    </border>
    <border>
      <left style="medium">
        <color indexed="64"/>
      </left>
      <right style="thick">
        <color indexed="64"/>
      </right>
      <top/>
      <bottom style="thick">
        <color indexed="64"/>
      </bottom>
      <diagonal/>
    </border>
    <border>
      <left style="medium">
        <color indexed="64"/>
      </left>
      <right style="thick">
        <color indexed="64"/>
      </right>
      <top style="thin">
        <color indexed="64"/>
      </top>
      <bottom/>
      <diagonal/>
    </border>
    <border>
      <left style="thin">
        <color indexed="64"/>
      </left>
      <right style="medium">
        <color indexed="64"/>
      </right>
      <top style="thin">
        <color indexed="64"/>
      </top>
      <bottom style="thick">
        <color indexed="64"/>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diagonal/>
    </border>
    <border>
      <left style="thick">
        <color indexed="64"/>
      </left>
      <right style="medium">
        <color indexed="64"/>
      </right>
      <top/>
      <bottom style="thin">
        <color indexed="64"/>
      </bottom>
      <diagonal/>
    </border>
    <border>
      <left style="thick">
        <color indexed="64"/>
      </left>
      <right style="medium">
        <color indexed="64"/>
      </right>
      <top style="thin">
        <color indexed="64"/>
      </top>
      <bottom style="thin">
        <color indexed="64"/>
      </bottom>
      <diagonal/>
    </border>
    <border>
      <left style="thick">
        <color indexed="64"/>
      </left>
      <right style="medium">
        <color indexed="64"/>
      </right>
      <top style="thin">
        <color indexed="64"/>
      </top>
      <bottom style="thick">
        <color indexed="64"/>
      </bottom>
      <diagonal/>
    </border>
    <border>
      <left style="medium">
        <color indexed="64"/>
      </left>
      <right style="medium">
        <color indexed="64"/>
      </right>
      <top style="thin">
        <color indexed="64"/>
      </top>
      <bottom style="thick">
        <color indexed="64"/>
      </bottom>
      <diagonal/>
    </border>
    <border>
      <left style="thick">
        <color indexed="64"/>
      </left>
      <right style="medium">
        <color indexed="64"/>
      </right>
      <top style="thin">
        <color indexed="64"/>
      </top>
      <bottom/>
      <diagonal/>
    </border>
    <border>
      <left style="thick">
        <color indexed="64"/>
      </left>
      <right style="medium">
        <color indexed="64"/>
      </right>
      <top style="medium">
        <color indexed="64"/>
      </top>
      <bottom style="thin">
        <color indexed="64"/>
      </bottom>
      <diagonal/>
    </border>
    <border>
      <left style="thick">
        <color indexed="64"/>
      </left>
      <right style="medium">
        <color indexed="64"/>
      </right>
      <top style="thin">
        <color indexed="64"/>
      </top>
      <bottom style="medium">
        <color indexed="64"/>
      </bottom>
      <diagonal/>
    </border>
    <border>
      <left/>
      <right style="thick">
        <color indexed="64"/>
      </right>
      <top style="medium">
        <color indexed="64"/>
      </top>
      <bottom style="thin">
        <color indexed="64"/>
      </bottom>
      <diagonal/>
    </border>
    <border>
      <left style="medium">
        <color indexed="64"/>
      </left>
      <right style="thin">
        <color indexed="64"/>
      </right>
      <top style="thin">
        <color indexed="64"/>
      </top>
      <bottom style="thick">
        <color indexed="64"/>
      </bottom>
      <diagonal/>
    </border>
    <border>
      <left style="medium">
        <color indexed="64"/>
      </left>
      <right style="thick">
        <color indexed="64"/>
      </right>
      <top style="thin">
        <color indexed="64"/>
      </top>
      <bottom style="medium">
        <color indexed="64"/>
      </bottom>
      <diagonal/>
    </border>
    <border>
      <left style="medium">
        <color indexed="64"/>
      </left>
      <right style="thin">
        <color indexed="64"/>
      </right>
      <top style="thick">
        <color indexed="64"/>
      </top>
      <bottom/>
      <diagonal/>
    </border>
    <border>
      <left style="thick">
        <color indexed="64"/>
      </left>
      <right style="medium">
        <color indexed="64"/>
      </right>
      <top style="thick">
        <color indexed="64"/>
      </top>
      <bottom style="thin">
        <color indexed="64"/>
      </bottom>
      <diagonal/>
    </border>
    <border>
      <left style="medium">
        <color indexed="64"/>
      </left>
      <right style="thin">
        <color indexed="64"/>
      </right>
      <top style="thick">
        <color indexed="64"/>
      </top>
      <bottom style="thin">
        <color indexed="64"/>
      </bottom>
      <diagonal/>
    </border>
    <border>
      <left style="medium">
        <color indexed="64"/>
      </left>
      <right style="thin">
        <color indexed="64"/>
      </right>
      <top/>
      <bottom style="thick">
        <color indexed="64"/>
      </bottom>
      <diagonal/>
    </border>
    <border>
      <left style="medium">
        <color indexed="64"/>
      </left>
      <right/>
      <top/>
      <bottom style="thick">
        <color indexed="64"/>
      </bottom>
      <diagonal/>
    </border>
    <border>
      <left style="medium">
        <color rgb="FF000000"/>
      </left>
      <right style="thin">
        <color indexed="64"/>
      </right>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bottom style="medium">
        <color rgb="FF000000"/>
      </bottom>
      <diagonal/>
    </border>
    <border>
      <left/>
      <right/>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top style="medium">
        <color rgb="FF000000"/>
      </top>
      <bottom style="thin">
        <color indexed="64"/>
      </bottom>
      <diagonal/>
    </border>
    <border>
      <left style="medium">
        <color indexed="64"/>
      </left>
      <right style="thin">
        <color indexed="64"/>
      </right>
      <top style="medium">
        <color rgb="FF000000"/>
      </top>
      <bottom style="thin">
        <color indexed="64"/>
      </bottom>
      <diagonal/>
    </border>
    <border>
      <left/>
      <right style="thin">
        <color indexed="64"/>
      </right>
      <top style="medium">
        <color rgb="FF000000"/>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top style="thin">
        <color indexed="64"/>
      </top>
      <bottom style="medium">
        <color rgb="FF000000"/>
      </bottom>
      <diagonal/>
    </border>
    <border>
      <left style="medium">
        <color indexed="64"/>
      </left>
      <right style="thin">
        <color indexed="64"/>
      </right>
      <top style="thin">
        <color indexed="64"/>
      </top>
      <bottom style="medium">
        <color rgb="FF000000"/>
      </bottom>
      <diagonal/>
    </border>
    <border>
      <left/>
      <right/>
      <top style="medium">
        <color rgb="FF000000"/>
      </top>
      <bottom/>
      <diagonal/>
    </border>
    <border>
      <left/>
      <right style="medium">
        <color rgb="FF000000"/>
      </right>
      <top/>
      <bottom style="medium">
        <color rgb="FF000000"/>
      </bottom>
      <diagonal/>
    </border>
    <border>
      <left style="medium">
        <color rgb="FF000000"/>
      </left>
      <right style="thin">
        <color indexed="64"/>
      </right>
      <top style="medium">
        <color rgb="FF000000"/>
      </top>
      <bottom/>
      <diagonal/>
    </border>
    <border>
      <left style="medium">
        <color indexed="64"/>
      </left>
      <right style="medium">
        <color indexed="64"/>
      </right>
      <top style="medium">
        <color rgb="FF000000"/>
      </top>
      <bottom style="thin">
        <color indexed="64"/>
      </bottom>
      <diagonal/>
    </border>
    <border>
      <left style="medium">
        <color indexed="64"/>
      </left>
      <right style="medium">
        <color indexed="64"/>
      </right>
      <top style="thin">
        <color indexed="64"/>
      </top>
      <bottom style="medium">
        <color rgb="FF000000"/>
      </bottom>
      <diagonal/>
    </border>
    <border>
      <left style="thin">
        <color rgb="FF000000"/>
      </left>
      <right style="thin">
        <color rgb="FF000000"/>
      </right>
      <top/>
      <bottom style="thin">
        <color rgb="FF000000"/>
      </bottom>
      <diagonal/>
    </border>
    <border>
      <left style="thin">
        <color indexed="64"/>
      </left>
      <right/>
      <top/>
      <bottom style="thin">
        <color rgb="FF000000"/>
      </bottom>
      <diagonal/>
    </border>
    <border>
      <left style="thin">
        <color indexed="64"/>
      </left>
      <right style="thin">
        <color indexed="64"/>
      </right>
      <top/>
      <bottom style="thin">
        <color rgb="FF000000"/>
      </bottom>
      <diagonal/>
    </border>
    <border>
      <left style="medium">
        <color rgb="FF000000"/>
      </left>
      <right style="thin">
        <color indexed="64"/>
      </right>
      <top style="medium">
        <color rgb="FF000000"/>
      </top>
      <bottom style="medium">
        <color indexed="64"/>
      </bottom>
      <diagonal/>
    </border>
    <border>
      <left style="thin">
        <color auto="1"/>
      </left>
      <right style="thin">
        <color auto="1"/>
      </right>
      <top style="medium">
        <color rgb="FF000000"/>
      </top>
      <bottom style="medium">
        <color indexed="64"/>
      </bottom>
      <diagonal/>
    </border>
    <border>
      <left/>
      <right style="thin">
        <color indexed="64"/>
      </right>
      <top style="medium">
        <color rgb="FF000000"/>
      </top>
      <bottom style="medium">
        <color indexed="64"/>
      </bottom>
      <diagonal/>
    </border>
    <border>
      <left/>
      <right/>
      <top style="medium">
        <color rgb="FF000000"/>
      </top>
      <bottom style="medium">
        <color indexed="64"/>
      </bottom>
      <diagonal/>
    </border>
    <border>
      <left style="thin">
        <color auto="1"/>
      </left>
      <right/>
      <top style="medium">
        <color rgb="FF000000"/>
      </top>
      <bottom style="medium">
        <color indexed="64"/>
      </bottom>
      <diagonal/>
    </border>
    <border>
      <left style="thin">
        <color indexed="64"/>
      </left>
      <right/>
      <top/>
      <bottom style="medium">
        <color rgb="FF000000"/>
      </bottom>
      <diagonal/>
    </border>
    <border>
      <left style="thin">
        <color auto="1"/>
      </left>
      <right style="thin">
        <color auto="1"/>
      </right>
      <top/>
      <bottom style="medium">
        <color rgb="FF000000"/>
      </bottom>
      <diagonal/>
    </border>
    <border>
      <left/>
      <right style="medium">
        <color rgb="FF000000"/>
      </right>
      <top style="thin">
        <color indexed="64"/>
      </top>
      <bottom style="medium">
        <color rgb="FF000000"/>
      </bottom>
      <diagonal/>
    </border>
    <border>
      <left/>
      <right style="medium">
        <color rgb="FF000000"/>
      </right>
      <top style="thin">
        <color indexed="64"/>
      </top>
      <bottom style="thin">
        <color indexed="64"/>
      </bottom>
      <diagonal/>
    </border>
    <border>
      <left/>
      <right style="medium">
        <color rgb="FF000000"/>
      </right>
      <top style="thin">
        <color indexed="64"/>
      </top>
      <bottom/>
      <diagonal/>
    </border>
    <border>
      <left style="medium">
        <color rgb="FF000000"/>
      </left>
      <right style="thin">
        <color indexed="64"/>
      </right>
      <top style="medium">
        <color indexed="64"/>
      </top>
      <bottom style="thin">
        <color indexed="64"/>
      </bottom>
      <diagonal/>
    </border>
    <border>
      <left style="medium">
        <color rgb="FF000000"/>
      </left>
      <right style="thin">
        <color auto="1"/>
      </right>
      <top/>
      <bottom/>
      <diagonal/>
    </border>
    <border>
      <left/>
      <right style="thin">
        <color auto="1"/>
      </right>
      <top/>
      <bottom style="medium">
        <color rgb="FF000000"/>
      </bottom>
      <diagonal/>
    </border>
    <border>
      <left style="medium">
        <color rgb="FF000000"/>
      </left>
      <right style="thin">
        <color indexed="64"/>
      </right>
      <top style="medium">
        <color indexed="64"/>
      </top>
      <bottom style="medium">
        <color indexed="64"/>
      </bottom>
      <diagonal/>
    </border>
    <border>
      <left style="thin">
        <color rgb="FF000000"/>
      </left>
      <right/>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indexed="64"/>
      </left>
      <right/>
      <top style="thin">
        <color rgb="FF000000"/>
      </top>
      <bottom style="medium">
        <color rgb="FF000000"/>
      </bottom>
      <diagonal/>
    </border>
    <border>
      <left style="thin">
        <color auto="1"/>
      </left>
      <right style="thin">
        <color auto="1"/>
      </right>
      <top style="thin">
        <color rgb="FF000000"/>
      </top>
      <bottom style="medium">
        <color rgb="FF000000"/>
      </bottom>
      <diagonal/>
    </border>
    <border>
      <left style="thin">
        <color indexed="64"/>
      </left>
      <right style="medium">
        <color rgb="FF000000"/>
      </right>
      <top style="medium">
        <color rgb="FF000000"/>
      </top>
      <bottom style="thin">
        <color indexed="64"/>
      </bottom>
      <diagonal/>
    </border>
    <border>
      <left style="medium">
        <color rgb="FF000000"/>
      </left>
      <right style="thin">
        <color indexed="64"/>
      </right>
      <top style="thin">
        <color indexed="64"/>
      </top>
      <bottom/>
      <diagonal/>
    </border>
    <border>
      <left style="thin">
        <color indexed="64"/>
      </left>
      <right style="medium">
        <color rgb="FF000000"/>
      </right>
      <top style="thin">
        <color indexed="64"/>
      </top>
      <bottom/>
      <diagonal/>
    </border>
    <border>
      <left style="thin">
        <color indexed="64"/>
      </left>
      <right style="medium">
        <color rgb="FF000000"/>
      </right>
      <top style="medium">
        <color indexed="64"/>
      </top>
      <bottom style="thin">
        <color indexed="64"/>
      </bottom>
      <diagonal/>
    </border>
    <border>
      <left/>
      <right style="medium">
        <color rgb="FF000000"/>
      </right>
      <top/>
      <bottom style="thin">
        <color indexed="64"/>
      </bottom>
      <diagonal/>
    </border>
    <border>
      <left/>
      <right/>
      <top style="thin">
        <color indexed="64"/>
      </top>
      <bottom style="medium">
        <color rgb="FF000000"/>
      </bottom>
      <diagonal/>
    </border>
    <border>
      <left/>
      <right style="medium">
        <color indexed="64"/>
      </right>
      <top style="thin">
        <color rgb="FF000000"/>
      </top>
      <bottom style="thin">
        <color rgb="FF000000"/>
      </bottom>
      <diagonal/>
    </border>
    <border>
      <left/>
      <right style="medium">
        <color rgb="FF000000"/>
      </right>
      <top style="medium">
        <color rgb="FF000000"/>
      </top>
      <bottom style="medium">
        <color indexed="64"/>
      </bottom>
      <diagonal/>
    </border>
    <border>
      <left style="medium">
        <color indexed="64"/>
      </left>
      <right style="thin">
        <color indexed="64"/>
      </right>
      <top style="medium">
        <color rgb="FF000000"/>
      </top>
      <bottom style="medium">
        <color indexed="64"/>
      </bottom>
      <diagonal/>
    </border>
    <border>
      <left style="medium">
        <color indexed="64"/>
      </left>
      <right style="thin">
        <color indexed="64"/>
      </right>
      <top/>
      <bottom style="medium">
        <color rgb="FF000000"/>
      </bottom>
      <diagonal/>
    </border>
    <border>
      <left style="medium">
        <color rgb="FF000000"/>
      </left>
      <right style="thin">
        <color indexed="64"/>
      </right>
      <top style="medium">
        <color indexed="64"/>
      </top>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right style="medium">
        <color indexed="64"/>
      </right>
      <top style="medium">
        <color rgb="FF000000"/>
      </top>
      <bottom style="medium">
        <color indexed="64"/>
      </bottom>
      <diagonal/>
    </border>
    <border>
      <left style="medium">
        <color rgb="FF000000"/>
      </left>
      <right style="thin">
        <color indexed="64"/>
      </right>
      <top style="thin">
        <color indexed="64"/>
      </top>
      <bottom style="medium">
        <color indexed="64"/>
      </bottom>
      <diagonal/>
    </border>
    <border>
      <left style="thin">
        <color indexed="64"/>
      </left>
      <right style="medium">
        <color rgb="FF000000"/>
      </right>
      <top style="thin">
        <color indexed="64"/>
      </top>
      <bottom style="medium">
        <color indexed="64"/>
      </bottom>
      <diagonal/>
    </border>
    <border>
      <left style="medium">
        <color rgb="FF000000"/>
      </left>
      <right style="thin">
        <color indexed="64"/>
      </right>
      <top style="thin">
        <color rgb="FF000000"/>
      </top>
      <bottom style="medium">
        <color rgb="FF000000"/>
      </bottom>
      <diagonal/>
    </border>
    <border>
      <left style="medium">
        <color rgb="FF000000"/>
      </left>
      <right style="thin">
        <color indexed="64"/>
      </right>
      <top/>
      <bottom style="medium">
        <color indexed="64"/>
      </bottom>
      <diagonal/>
    </border>
    <border>
      <left/>
      <right/>
      <top/>
      <bottom style="thin">
        <color rgb="FF000000"/>
      </bottom>
      <diagonal/>
    </border>
    <border>
      <left/>
      <right/>
      <top style="thin">
        <color rgb="FF000000"/>
      </top>
      <bottom style="medium">
        <color rgb="FF000000"/>
      </bottom>
      <diagonal/>
    </border>
    <border>
      <left/>
      <right style="thin">
        <color rgb="FF000000"/>
      </right>
      <top/>
      <bottom style="thin">
        <color rgb="FF000000"/>
      </bottom>
      <diagonal/>
    </border>
    <border>
      <left/>
      <right style="thin">
        <color rgb="FF000000"/>
      </right>
      <top style="thin">
        <color rgb="FF000000"/>
      </top>
      <bottom style="medium">
        <color rgb="FF000000"/>
      </bottom>
      <diagonal/>
    </border>
    <border>
      <left style="thin">
        <color rgb="FF000000"/>
      </left>
      <right style="thin">
        <color indexed="64"/>
      </right>
      <top/>
      <bottom style="thin">
        <color rgb="FF000000"/>
      </bottom>
      <diagonal/>
    </border>
    <border>
      <left style="thin">
        <color rgb="FF000000"/>
      </left>
      <right style="thin">
        <color indexed="64"/>
      </right>
      <top style="thin">
        <color rgb="FF000000"/>
      </top>
      <bottom style="medium">
        <color rgb="FF000000"/>
      </bottom>
      <diagonal/>
    </border>
    <border>
      <left/>
      <right style="thin">
        <color indexed="64"/>
      </right>
      <top/>
      <bottom style="thin">
        <color rgb="FF000000"/>
      </bottom>
      <diagonal/>
    </border>
    <border>
      <left/>
      <right style="thin">
        <color auto="1"/>
      </right>
      <top style="thin">
        <color rgb="FF000000"/>
      </top>
      <bottom style="medium">
        <color rgb="FF000000"/>
      </bottom>
      <diagonal/>
    </border>
    <border>
      <left style="medium">
        <color rgb="FF000000"/>
      </left>
      <right style="thin">
        <color indexed="64"/>
      </right>
      <top/>
      <bottom style="thin">
        <color rgb="FF000000"/>
      </bottom>
      <diagonal/>
    </border>
    <border>
      <left style="thick">
        <color indexed="64"/>
      </left>
      <right style="medium">
        <color indexed="64"/>
      </right>
      <top/>
      <bottom/>
      <diagonal/>
    </border>
    <border>
      <left style="thick">
        <color indexed="64"/>
      </left>
      <right style="medium">
        <color indexed="64"/>
      </right>
      <top/>
      <bottom style="medium">
        <color auto="1"/>
      </bottom>
      <diagonal/>
    </border>
    <border>
      <left style="medium">
        <color indexed="64"/>
      </left>
      <right style="thin">
        <color indexed="64"/>
      </right>
      <top style="medium">
        <color rgb="FF000000"/>
      </top>
      <bottom style="thin">
        <color rgb="FF000000"/>
      </bottom>
      <diagonal/>
    </border>
    <border>
      <left style="medium">
        <color indexed="64"/>
      </left>
      <right style="thin">
        <color indexed="64"/>
      </right>
      <top style="thin">
        <color rgb="FF000000"/>
      </top>
      <bottom style="thin">
        <color rgb="FF000000"/>
      </bottom>
      <diagonal/>
    </border>
    <border>
      <left/>
      <right style="thin">
        <color indexed="64"/>
      </right>
      <top style="medium">
        <color rgb="FF000000"/>
      </top>
      <bottom/>
      <diagonal/>
    </border>
    <border>
      <left style="thin">
        <color indexed="64"/>
      </left>
      <right style="medium">
        <color rgb="FF000000"/>
      </right>
      <top style="medium">
        <color indexed="64"/>
      </top>
      <bottom style="medium">
        <color indexed="64"/>
      </bottom>
      <diagonal/>
    </border>
    <border>
      <left style="medium">
        <color indexed="64"/>
      </left>
      <right style="thin">
        <color indexed="64"/>
      </right>
      <top style="thin">
        <color rgb="FF000000"/>
      </top>
      <bottom/>
      <diagonal/>
    </border>
    <border>
      <left style="medium">
        <color auto="1"/>
      </left>
      <right style="medium">
        <color auto="1"/>
      </right>
      <top/>
      <bottom style="dotted">
        <color auto="1"/>
      </bottom>
      <diagonal/>
    </border>
    <border>
      <left style="medium">
        <color auto="1"/>
      </left>
      <right style="medium">
        <color auto="1"/>
      </right>
      <top style="dotted">
        <color auto="1"/>
      </top>
      <bottom style="thin">
        <color indexed="64"/>
      </bottom>
      <diagonal/>
    </border>
    <border>
      <left style="medium">
        <color auto="1"/>
      </left>
      <right/>
      <top/>
      <bottom style="dotted">
        <color auto="1"/>
      </bottom>
      <diagonal/>
    </border>
    <border>
      <left style="medium">
        <color auto="1"/>
      </left>
      <right style="thin">
        <color indexed="64"/>
      </right>
      <top style="dotted">
        <color auto="1"/>
      </top>
      <bottom style="dotted">
        <color auto="1"/>
      </bottom>
      <diagonal/>
    </border>
    <border>
      <left style="medium">
        <color auto="1"/>
      </left>
      <right style="thin">
        <color indexed="64"/>
      </right>
      <top style="dotted">
        <color auto="1"/>
      </top>
      <bottom style="thin">
        <color indexed="64"/>
      </bottom>
      <diagonal/>
    </border>
    <border>
      <left style="medium">
        <color indexed="64"/>
      </left>
      <right style="medium">
        <color indexed="64"/>
      </right>
      <top style="dashed">
        <color indexed="64"/>
      </top>
      <bottom style="thin">
        <color indexed="64"/>
      </bottom>
      <diagonal/>
    </border>
    <border>
      <left style="medium">
        <color indexed="64"/>
      </left>
      <right style="medium">
        <color indexed="64"/>
      </right>
      <top style="thin">
        <color indexed="64"/>
      </top>
      <bottom style="dashed">
        <color indexed="64"/>
      </bottom>
      <diagonal/>
    </border>
    <border>
      <left style="medium">
        <color indexed="64"/>
      </left>
      <right style="medium">
        <color indexed="64"/>
      </right>
      <top style="dashed">
        <color indexed="64"/>
      </top>
      <bottom/>
      <diagonal/>
    </border>
    <border>
      <left style="medium">
        <color auto="1"/>
      </left>
      <right style="thin">
        <color indexed="64"/>
      </right>
      <top style="medium">
        <color auto="1"/>
      </top>
      <bottom style="dotted">
        <color auto="1"/>
      </bottom>
      <diagonal/>
    </border>
    <border>
      <left style="medium">
        <color auto="1"/>
      </left>
      <right style="medium">
        <color auto="1"/>
      </right>
      <top style="thin">
        <color indexed="64"/>
      </top>
      <bottom style="dotted">
        <color auto="1"/>
      </bottom>
      <diagonal/>
    </border>
    <border>
      <left style="medium">
        <color auto="1"/>
      </left>
      <right style="medium">
        <color auto="1"/>
      </right>
      <top style="dotted">
        <color auto="1"/>
      </top>
      <bottom/>
      <diagonal/>
    </border>
    <border>
      <left/>
      <right/>
      <top style="dotted">
        <color auto="1"/>
      </top>
      <bottom style="dotted">
        <color auto="1"/>
      </bottom>
      <diagonal/>
    </border>
    <border>
      <left/>
      <right/>
      <top style="dotted">
        <color auto="1"/>
      </top>
      <bottom/>
      <diagonal/>
    </border>
    <border>
      <left/>
      <right style="medium">
        <color auto="1"/>
      </right>
      <top style="thin">
        <color indexed="64"/>
      </top>
      <bottom style="dotted">
        <color auto="1"/>
      </bottom>
      <diagonal/>
    </border>
    <border>
      <left/>
      <right/>
      <top style="medium">
        <color indexed="64"/>
      </top>
      <bottom style="dashed">
        <color indexed="64"/>
      </bottom>
      <diagonal/>
    </border>
    <border>
      <left style="thick">
        <color indexed="64"/>
      </left>
      <right style="thin">
        <color indexed="64"/>
      </right>
      <top style="dashed">
        <color indexed="64"/>
      </top>
      <bottom style="medium">
        <color indexed="64"/>
      </bottom>
      <diagonal/>
    </border>
    <border>
      <left/>
      <right/>
      <top style="dashed">
        <color indexed="64"/>
      </top>
      <bottom style="dashed">
        <color indexed="64"/>
      </bottom>
      <diagonal/>
    </border>
    <border>
      <left/>
      <right/>
      <top style="dashed">
        <color indexed="64"/>
      </top>
      <bottom style="medium">
        <color indexed="64"/>
      </bottom>
      <diagonal/>
    </border>
    <border>
      <left style="thick">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medium">
        <color indexed="64"/>
      </top>
      <bottom style="dashed">
        <color indexed="64"/>
      </bottom>
      <diagonal/>
    </border>
    <border>
      <left/>
      <right style="thin">
        <color indexed="64"/>
      </right>
      <top style="dashed">
        <color indexed="64"/>
      </top>
      <bottom style="medium">
        <color indexed="64"/>
      </bottom>
      <diagonal/>
    </border>
    <border>
      <left style="thin">
        <color indexed="64"/>
      </left>
      <right style="thin">
        <color indexed="64"/>
      </right>
      <top style="medium">
        <color indexed="64"/>
      </top>
      <bottom style="dashed">
        <color indexed="64"/>
      </bottom>
      <diagonal/>
    </border>
    <border>
      <left style="thin">
        <color indexed="64"/>
      </left>
      <right style="medium">
        <color indexed="64"/>
      </right>
      <top style="dashed">
        <color indexed="64"/>
      </top>
      <bottom style="medium">
        <color indexed="64"/>
      </bottom>
      <diagonal/>
    </border>
    <border>
      <left style="thick">
        <color indexed="64"/>
      </left>
      <right style="thin">
        <color indexed="64"/>
      </right>
      <top style="medium">
        <color indexed="64"/>
      </top>
      <bottom style="dashed">
        <color indexed="64"/>
      </bottom>
      <diagonal/>
    </border>
    <border>
      <left style="thick">
        <color indexed="64"/>
      </left>
      <right style="thin">
        <color indexed="64"/>
      </right>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medium">
        <color indexed="64"/>
      </right>
      <top/>
      <bottom style="dashed">
        <color indexed="64"/>
      </bottom>
      <diagonal/>
    </border>
    <border>
      <left/>
      <right style="thin">
        <color indexed="64"/>
      </right>
      <top/>
      <bottom style="dashed">
        <color indexed="64"/>
      </bottom>
      <diagonal/>
    </border>
    <border>
      <left/>
      <right style="thin">
        <color indexed="64"/>
      </right>
      <top style="dashed">
        <color indexed="64"/>
      </top>
      <bottom/>
      <diagonal/>
    </border>
    <border>
      <left/>
      <right style="thin">
        <color indexed="64"/>
      </right>
      <top style="thin">
        <color indexed="64"/>
      </top>
      <bottom style="dotted">
        <color indexed="64"/>
      </bottom>
      <diagonal/>
    </border>
    <border>
      <left/>
      <right style="thin">
        <color indexed="64"/>
      </right>
      <top style="dotted">
        <color auto="1"/>
      </top>
      <bottom style="dotted">
        <color auto="1"/>
      </bottom>
      <diagonal/>
    </border>
    <border>
      <left style="thin">
        <color indexed="64"/>
      </left>
      <right style="medium">
        <color indexed="64"/>
      </right>
      <top style="medium">
        <color auto="1"/>
      </top>
      <bottom style="dotted">
        <color indexed="64"/>
      </bottom>
      <diagonal/>
    </border>
    <border>
      <left style="thin">
        <color indexed="64"/>
      </left>
      <right style="medium">
        <color indexed="64"/>
      </right>
      <top style="dotted">
        <color auto="1"/>
      </top>
      <bottom style="dotted">
        <color indexed="64"/>
      </bottom>
      <diagonal/>
    </border>
    <border>
      <left style="thin">
        <color indexed="64"/>
      </left>
      <right style="medium">
        <color indexed="64"/>
      </right>
      <top style="thin">
        <color indexed="64"/>
      </top>
      <bottom style="dotted">
        <color indexed="64"/>
      </bottom>
      <diagonal/>
    </border>
    <border>
      <left style="hair">
        <color auto="1"/>
      </left>
      <right/>
      <top/>
      <bottom style="thin">
        <color auto="1"/>
      </bottom>
      <diagonal/>
    </border>
    <border>
      <left style="hair">
        <color auto="1"/>
      </left>
      <right style="thin">
        <color auto="1"/>
      </right>
      <top/>
      <bottom style="thin">
        <color auto="1"/>
      </bottom>
      <diagonal/>
    </border>
    <border>
      <left style="hair">
        <color auto="1"/>
      </left>
      <right style="medium">
        <color auto="1"/>
      </right>
      <top/>
      <bottom style="thin">
        <color auto="1"/>
      </bottom>
      <diagonal/>
    </border>
    <border>
      <left style="medium">
        <color indexed="64"/>
      </left>
      <right style="hair">
        <color indexed="64"/>
      </right>
      <top style="thin">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bottom style="thin">
        <color indexed="64"/>
      </bottom>
      <diagonal/>
    </border>
    <border>
      <left style="medium">
        <color indexed="64"/>
      </left>
      <right style="hair">
        <color indexed="64"/>
      </right>
      <top/>
      <bottom style="medium">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right style="thick">
        <color indexed="64"/>
      </right>
      <top style="thin">
        <color indexed="64"/>
      </top>
      <bottom style="medium">
        <color indexed="64"/>
      </bottom>
      <diagonal/>
    </border>
    <border>
      <left style="thick">
        <color indexed="64"/>
      </left>
      <right style="medium">
        <color indexed="64"/>
      </right>
      <top/>
      <bottom style="thick">
        <color indexed="64"/>
      </bottom>
      <diagonal/>
    </border>
    <border>
      <left/>
      <right style="thin">
        <color indexed="64"/>
      </right>
      <top style="medium">
        <color auto="1"/>
      </top>
      <bottom style="dotted">
        <color auto="1"/>
      </bottom>
      <diagonal/>
    </border>
    <border>
      <left style="thin">
        <color indexed="64"/>
      </left>
      <right style="medium">
        <color indexed="64"/>
      </right>
      <top style="dotted">
        <color auto="1"/>
      </top>
      <bottom style="thin">
        <color indexed="64"/>
      </bottom>
      <diagonal/>
    </border>
    <border>
      <left style="medium">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thin">
        <color indexed="64"/>
      </left>
      <right style="thin">
        <color indexed="64"/>
      </right>
      <top style="dashed">
        <color indexed="64"/>
      </top>
      <bottom/>
      <diagonal/>
    </border>
    <border>
      <left style="thin">
        <color indexed="64"/>
      </left>
      <right style="medium">
        <color indexed="64"/>
      </right>
      <top style="dashed">
        <color indexed="64"/>
      </top>
      <bottom/>
      <diagonal/>
    </border>
    <border>
      <left style="thin">
        <color indexed="64"/>
      </left>
      <right style="medium">
        <color indexed="64"/>
      </right>
      <top style="medium">
        <color indexed="64"/>
      </top>
      <bottom style="dashed">
        <color indexed="64"/>
      </bottom>
      <diagonal/>
    </border>
    <border>
      <left style="thick">
        <color indexed="64"/>
      </left>
      <right style="thin">
        <color indexed="64"/>
      </right>
      <top style="thin">
        <color indexed="64"/>
      </top>
      <bottom/>
      <diagonal/>
    </border>
    <border>
      <left/>
      <right style="medium">
        <color indexed="64"/>
      </right>
      <top/>
      <bottom style="thick">
        <color indexed="64"/>
      </bottom>
      <diagonal/>
    </border>
    <border>
      <left style="medium">
        <color indexed="64"/>
      </left>
      <right/>
      <top/>
      <bottom style="thin">
        <color rgb="FF000000"/>
      </bottom>
      <diagonal/>
    </border>
    <border>
      <left style="medium">
        <color indexed="64"/>
      </left>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thin">
        <color indexed="64"/>
      </right>
      <top style="thin">
        <color rgb="FF000000"/>
      </top>
      <bottom style="medium">
        <color indexed="64"/>
      </bottom>
      <diagonal/>
    </border>
    <border>
      <left/>
      <right style="thin">
        <color rgb="FF000000"/>
      </right>
      <top style="thin">
        <color rgb="FF000000"/>
      </top>
      <bottom style="medium">
        <color indexed="64"/>
      </bottom>
      <diagonal/>
    </border>
    <border>
      <left style="medium">
        <color indexed="64"/>
      </left>
      <right style="thin">
        <color indexed="64"/>
      </right>
      <top/>
      <bottom style="thin">
        <color rgb="FF000000"/>
      </bottom>
      <diagonal/>
    </border>
    <border>
      <left style="medium">
        <color indexed="64"/>
      </left>
      <right style="thin">
        <color indexed="64"/>
      </right>
      <top style="thin">
        <color rgb="FF000000"/>
      </top>
      <bottom style="medium">
        <color indexed="64"/>
      </bottom>
      <diagonal/>
    </border>
    <border>
      <left/>
      <right style="thin">
        <color auto="1"/>
      </right>
      <top style="thin">
        <color rgb="FF000000"/>
      </top>
      <bottom style="medium">
        <color indexed="64"/>
      </bottom>
      <diagonal/>
    </border>
    <border>
      <left style="thin">
        <color indexed="64"/>
      </left>
      <right/>
      <top style="thin">
        <color rgb="FF000000"/>
      </top>
      <bottom style="medium">
        <color indexed="64"/>
      </bottom>
      <diagonal/>
    </border>
    <border>
      <left style="thin">
        <color auto="1"/>
      </left>
      <right style="thin">
        <color auto="1"/>
      </right>
      <top style="thin">
        <color rgb="FF000000"/>
      </top>
      <bottom style="medium">
        <color indexed="64"/>
      </bottom>
      <diagonal/>
    </border>
    <border>
      <left/>
      <right/>
      <top style="thin">
        <color rgb="FF000000"/>
      </top>
      <bottom style="medium">
        <color indexed="64"/>
      </bottom>
      <diagonal/>
    </border>
    <border>
      <left style="thin">
        <color indexed="64"/>
      </left>
      <right style="thin">
        <color indexed="64"/>
      </right>
      <top style="thin">
        <color rgb="FF000000"/>
      </top>
      <bottom style="thin">
        <color rgb="FF000000"/>
      </bottom>
      <diagonal/>
    </border>
    <border>
      <left style="thin">
        <color indexed="64"/>
      </left>
      <right style="medium">
        <color indexed="64"/>
      </right>
      <top style="dotted">
        <color auto="1"/>
      </top>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dotted">
        <color indexed="64"/>
      </top>
      <bottom style="medium">
        <color auto="1"/>
      </bottom>
      <diagonal/>
    </border>
    <border>
      <left/>
      <right style="medium">
        <color indexed="64"/>
      </right>
      <top style="thick">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medium">
        <color rgb="FF000000"/>
      </left>
      <right/>
      <top/>
      <bottom/>
      <diagonal/>
    </border>
    <border>
      <left/>
      <right style="thin">
        <color rgb="FF000000"/>
      </right>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style="thin">
        <color rgb="FF000000"/>
      </bottom>
      <diagonal/>
    </border>
    <border>
      <left style="thin">
        <color rgb="FF000000"/>
      </left>
      <right/>
      <top/>
      <bottom style="medium">
        <color rgb="FF000000"/>
      </bottom>
      <diagonal/>
    </border>
    <border>
      <left style="thin">
        <color rgb="FF000000"/>
      </left>
      <right/>
      <top/>
      <bottom/>
      <diagonal/>
    </border>
    <border>
      <left style="thin">
        <color rgb="FF000000"/>
      </left>
      <right style="thin">
        <color rgb="FF000000"/>
      </right>
      <top/>
      <bottom style="medium">
        <color rgb="FF000000"/>
      </bottom>
      <diagonal/>
    </border>
    <border>
      <left style="medium">
        <color rgb="FF000000"/>
      </left>
      <right style="thin">
        <color rgb="FF000000"/>
      </right>
      <top style="thin">
        <color rgb="FF000000"/>
      </top>
      <bottom style="thin">
        <color rgb="FF000000"/>
      </bottom>
      <diagonal/>
    </border>
    <border>
      <left/>
      <right style="thin">
        <color rgb="FF000000"/>
      </right>
      <top/>
      <bottom style="medium">
        <color rgb="FF000000"/>
      </bottom>
      <diagonal/>
    </border>
    <border>
      <left style="thin">
        <color rgb="FF000000"/>
      </left>
      <right style="thin">
        <color rgb="FF000000"/>
      </right>
      <top style="medium">
        <color rgb="FF000000"/>
      </top>
      <bottom/>
      <diagonal/>
    </border>
    <border>
      <left/>
      <right/>
      <top style="thin">
        <color rgb="FF000000"/>
      </top>
      <bottom/>
      <diagonal/>
    </border>
    <border>
      <left style="thin">
        <color rgb="FF000000"/>
      </left>
      <right style="medium">
        <color rgb="FF000000"/>
      </right>
      <top style="thin">
        <color rgb="FF000000"/>
      </top>
      <bottom/>
      <diagonal/>
    </border>
    <border>
      <left style="thin">
        <color rgb="FF000000"/>
      </left>
      <right style="medium">
        <color rgb="FF000000"/>
      </right>
      <top style="thin">
        <color rgb="FF000000"/>
      </top>
      <bottom style="medium">
        <color rgb="FF000000"/>
      </bottom>
      <diagonal/>
    </border>
    <border>
      <left/>
      <right style="thin">
        <color indexed="64"/>
      </right>
      <top style="thin">
        <color rgb="FF000000"/>
      </top>
      <bottom style="thin">
        <color rgb="FF000000"/>
      </bottom>
      <diagonal/>
    </border>
    <border>
      <left/>
      <right style="thin">
        <color indexed="64"/>
      </right>
      <top style="thin">
        <color rgb="FF000000"/>
      </top>
      <bottom/>
      <diagonal/>
    </border>
    <border>
      <left style="medium">
        <color indexed="64"/>
      </left>
      <right/>
      <top style="thin">
        <color rgb="FF000000"/>
      </top>
      <bottom style="thin">
        <color rgb="FF000000"/>
      </bottom>
      <diagonal/>
    </border>
    <border>
      <left style="medium">
        <color indexed="64"/>
      </left>
      <right/>
      <top style="medium">
        <color rgb="FF000000"/>
      </top>
      <bottom/>
      <diagonal/>
    </border>
    <border>
      <left style="thin">
        <color rgb="FF000000"/>
      </left>
      <right style="medium">
        <color rgb="FF000000"/>
      </right>
      <top/>
      <bottom style="medium">
        <color rgb="FF000000"/>
      </bottom>
      <diagonal/>
    </border>
    <border>
      <left style="thin">
        <color rgb="FF000000"/>
      </left>
      <right style="medium">
        <color rgb="FF000000"/>
      </right>
      <top/>
      <bottom/>
      <diagonal/>
    </border>
    <border>
      <left style="medium">
        <color indexed="64"/>
      </left>
      <right style="thin">
        <color indexed="64"/>
      </right>
      <top style="thin">
        <color rgb="FF000000"/>
      </top>
      <bottom style="medium">
        <color rgb="FF000000"/>
      </bottom>
      <diagonal/>
    </border>
    <border>
      <left style="medium">
        <color indexed="64"/>
      </left>
      <right/>
      <top style="thin">
        <color rgb="FF000000"/>
      </top>
      <bottom style="medium">
        <color rgb="FF000000"/>
      </bottom>
      <diagonal/>
    </border>
    <border>
      <left style="thin">
        <color indexed="64"/>
      </left>
      <right style="medium">
        <color indexed="64"/>
      </right>
      <top style="thin">
        <color rgb="FF000000"/>
      </top>
      <bottom style="medium">
        <color rgb="FF000000"/>
      </bottom>
      <diagonal/>
    </border>
    <border>
      <left/>
      <right style="medium">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right style="medium">
        <color rgb="FF000000"/>
      </right>
      <top style="thin">
        <color rgb="FF000000"/>
      </top>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rgb="FF000000"/>
      </right>
      <top/>
      <bottom style="thin">
        <color rgb="FF000000"/>
      </bottom>
      <diagonal/>
    </border>
    <border>
      <left style="medium">
        <color indexed="64"/>
      </left>
      <right style="thin">
        <color indexed="64"/>
      </right>
      <top style="medium">
        <color rgb="FF000000"/>
      </top>
      <bottom/>
      <diagonal/>
    </border>
    <border>
      <left style="thin">
        <color indexed="64"/>
      </left>
      <right/>
      <top style="thin">
        <color rgb="FF000000"/>
      </top>
      <bottom style="thin">
        <color rgb="FF000000"/>
      </bottom>
      <diagonal/>
    </border>
    <border>
      <left style="medium">
        <color indexed="64"/>
      </left>
      <right/>
      <top/>
      <bottom style="medium">
        <color rgb="FF000000"/>
      </bottom>
      <diagonal/>
    </border>
    <border>
      <left style="thin">
        <color indexed="64"/>
      </left>
      <right style="medium">
        <color indexed="64"/>
      </right>
      <top/>
      <bottom style="medium">
        <color rgb="FF000000"/>
      </bottom>
      <diagonal/>
    </border>
    <border>
      <left style="medium">
        <color rgb="FF000000"/>
      </left>
      <right style="thin">
        <color rgb="FF000000"/>
      </right>
      <top style="thin">
        <color rgb="FF000000"/>
      </top>
      <bottom style="medium">
        <color rgb="FF000000"/>
      </bottom>
      <diagonal/>
    </border>
    <border>
      <left/>
      <right style="medium">
        <color indexed="64"/>
      </right>
      <top/>
      <bottom style="thin">
        <color rgb="FF000000"/>
      </bottom>
      <diagonal/>
    </border>
    <border>
      <left style="medium">
        <color indexed="64"/>
      </left>
      <right/>
      <top style="thin">
        <color rgb="FF000000"/>
      </top>
      <bottom/>
      <diagonal/>
    </border>
    <border>
      <left/>
      <right style="medium">
        <color auto="1"/>
      </right>
      <top style="thin">
        <color rgb="FF000000"/>
      </top>
      <bottom style="medium">
        <color rgb="FF000000"/>
      </bottom>
      <diagonal/>
    </border>
    <border>
      <left style="thin">
        <color indexed="64"/>
      </left>
      <right/>
      <top style="thin">
        <color rgb="FF000000"/>
      </top>
      <bottom/>
      <diagonal/>
    </border>
    <border>
      <left/>
      <right style="medium">
        <color indexed="64"/>
      </right>
      <top style="thin">
        <color rgb="FF000000"/>
      </top>
      <bottom/>
      <diagonal/>
    </border>
    <border>
      <left/>
      <right style="medium">
        <color auto="1"/>
      </right>
      <top/>
      <bottom style="medium">
        <color rgb="FF000000"/>
      </bottom>
      <diagonal/>
    </border>
    <border>
      <left style="medium">
        <color rgb="FF000000"/>
      </left>
      <right/>
      <top style="thin">
        <color rgb="FF000000"/>
      </top>
      <bottom style="thin">
        <color rgb="FF000000"/>
      </bottom>
      <diagonal/>
    </border>
    <border>
      <left style="medium">
        <color indexed="64"/>
      </left>
      <right/>
      <top style="medium">
        <color indexed="64"/>
      </top>
      <bottom style="thin">
        <color rgb="FF000000"/>
      </bottom>
      <diagonal/>
    </border>
    <border>
      <left/>
      <right style="thin">
        <color indexed="64"/>
      </right>
      <top style="medium">
        <color indexed="64"/>
      </top>
      <bottom style="thin">
        <color rgb="FF000000"/>
      </bottom>
      <diagonal/>
    </border>
    <border>
      <left/>
      <right style="medium">
        <color auto="1"/>
      </right>
      <top style="thin">
        <color rgb="FF000000"/>
      </top>
      <bottom style="medium">
        <color indexed="64"/>
      </bottom>
      <diagonal/>
    </border>
    <border>
      <left style="medium">
        <color rgb="FF000000"/>
      </left>
      <right/>
      <top style="thin">
        <color rgb="FF000000"/>
      </top>
      <bottom style="medium">
        <color indexed="64"/>
      </bottom>
      <diagonal/>
    </border>
    <border>
      <left style="medium">
        <color rgb="FF000000"/>
      </left>
      <right/>
      <top style="medium">
        <color indexed="64"/>
      </top>
      <bottom style="thin">
        <color indexed="64"/>
      </bottom>
      <diagonal/>
    </border>
    <border>
      <left style="medium">
        <color rgb="FF000000"/>
      </left>
      <right style="thin">
        <color rgb="FF000000"/>
      </right>
      <top style="thin">
        <color rgb="FF000000"/>
      </top>
      <bottom/>
      <diagonal/>
    </border>
    <border>
      <left style="medium">
        <color rgb="FF000000"/>
      </left>
      <right/>
      <top style="thin">
        <color indexed="64"/>
      </top>
      <bottom/>
      <diagonal/>
    </border>
    <border>
      <left style="medium">
        <color rgb="FF000000"/>
      </left>
      <right/>
      <top style="medium">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rgb="FF000000"/>
      </left>
      <right style="medium">
        <color indexed="64"/>
      </right>
      <top style="medium">
        <color rgb="FF000000"/>
      </top>
      <bottom style="thin">
        <color indexed="64"/>
      </bottom>
      <diagonal/>
    </border>
    <border>
      <left style="medium">
        <color rgb="FF000000"/>
      </left>
      <right style="medium">
        <color indexed="64"/>
      </right>
      <top style="thin">
        <color indexed="64"/>
      </top>
      <bottom style="thin">
        <color indexed="64"/>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diagonal/>
    </border>
    <border>
      <left style="medium">
        <color indexed="64"/>
      </left>
      <right style="medium">
        <color indexed="64"/>
      </right>
      <top style="medium">
        <color indexed="64"/>
      </top>
      <bottom style="thin">
        <color rgb="FF000000"/>
      </bottom>
      <diagonal/>
    </border>
    <border>
      <left style="medium">
        <color rgb="FF000000"/>
      </left>
      <right/>
      <top style="medium">
        <color rgb="FF000000"/>
      </top>
      <bottom style="thin">
        <color indexed="64"/>
      </bottom>
      <diagonal/>
    </border>
    <border>
      <left style="medium">
        <color rgb="FF000000"/>
      </left>
      <right/>
      <top/>
      <bottom style="thin">
        <color indexed="64"/>
      </bottom>
      <diagonal/>
    </border>
    <border>
      <left style="medium">
        <color rgb="FF000000"/>
      </left>
      <right/>
      <top style="thin">
        <color indexed="64"/>
      </top>
      <bottom style="medium">
        <color rgb="FF000000"/>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style="thin">
        <color rgb="FF000000"/>
      </top>
      <bottom style="medium">
        <color indexed="64"/>
      </bottom>
      <diagonal/>
    </border>
    <border>
      <left style="medium">
        <color indexed="64"/>
      </left>
      <right style="medium">
        <color indexed="64"/>
      </right>
      <top/>
      <bottom style="thin">
        <color rgb="FF000000"/>
      </bottom>
      <diagonal/>
    </border>
    <border>
      <left style="medium">
        <color indexed="64"/>
      </left>
      <right/>
      <top style="medium">
        <color indexed="64"/>
      </top>
      <bottom style="medium">
        <color rgb="FF000000"/>
      </bottom>
      <diagonal/>
    </border>
    <border>
      <left style="thin">
        <color rgb="FF000000"/>
      </left>
      <right style="medium">
        <color indexed="64"/>
      </right>
      <top style="thin">
        <color rgb="FF000000"/>
      </top>
      <bottom style="medium">
        <color indexed="64"/>
      </bottom>
      <diagonal/>
    </border>
    <border>
      <left style="medium">
        <color rgb="FF000000"/>
      </left>
      <right style="medium">
        <color indexed="64"/>
      </right>
      <top style="medium">
        <color indexed="64"/>
      </top>
      <bottom/>
      <diagonal/>
    </border>
    <border>
      <left style="thin">
        <color rgb="FF000000"/>
      </left>
      <right style="medium">
        <color indexed="64"/>
      </right>
      <top/>
      <bottom style="thin">
        <color rgb="FF000000"/>
      </bottom>
      <diagonal/>
    </border>
    <border>
      <left style="medium">
        <color indexed="64"/>
      </left>
      <right style="thin">
        <color rgb="FF000000"/>
      </right>
      <top style="medium">
        <color rgb="FF000000"/>
      </top>
      <bottom style="thin">
        <color indexed="64"/>
      </bottom>
      <diagonal/>
    </border>
    <border>
      <left style="medium">
        <color indexed="64"/>
      </left>
      <right style="thin">
        <color rgb="FF000000"/>
      </right>
      <top style="thin">
        <color indexed="64"/>
      </top>
      <bottom style="thin">
        <color indexed="64"/>
      </bottom>
      <diagonal/>
    </border>
    <border>
      <left style="medium">
        <color indexed="64"/>
      </left>
      <right style="thin">
        <color rgb="FF000000"/>
      </right>
      <top/>
      <bottom style="thin">
        <color indexed="64"/>
      </bottom>
      <diagonal/>
    </border>
    <border>
      <left/>
      <right style="medium">
        <color indexed="64"/>
      </right>
      <top style="medium">
        <color indexed="64"/>
      </top>
      <bottom style="thin">
        <color rgb="FF000000"/>
      </bottom>
      <diagonal/>
    </border>
    <border>
      <left/>
      <right/>
      <top style="medium">
        <color rgb="FF000000"/>
      </top>
      <bottom style="thin">
        <color indexed="64"/>
      </bottom>
      <diagonal/>
    </border>
    <border>
      <left style="thin">
        <color auto="1"/>
      </left>
      <right style="hair">
        <color auto="1"/>
      </right>
      <top style="medium">
        <color rgb="FF000000"/>
      </top>
      <bottom/>
      <diagonal/>
    </border>
    <border>
      <left style="thin">
        <color auto="1"/>
      </left>
      <right style="hair">
        <color auto="1"/>
      </right>
      <top style="medium">
        <color rgb="FF000000"/>
      </top>
      <bottom style="thin">
        <color auto="1"/>
      </bottom>
      <diagonal/>
    </border>
    <border>
      <left style="hair">
        <color auto="1"/>
      </left>
      <right/>
      <top/>
      <bottom/>
      <diagonal/>
    </border>
    <border>
      <left style="hair">
        <color auto="1"/>
      </left>
      <right/>
      <top style="thin">
        <color indexed="64"/>
      </top>
      <bottom style="medium">
        <color indexed="64"/>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right style="medium">
        <color indexed="64"/>
      </right>
      <top style="medium">
        <color rgb="FF000000"/>
      </top>
      <bottom style="thin">
        <color indexed="64"/>
      </bottom>
      <diagonal/>
    </border>
    <border>
      <left/>
      <right style="medium">
        <color rgb="FF000000"/>
      </right>
      <top style="medium">
        <color rgb="FF000000"/>
      </top>
      <bottom style="thin">
        <color indexed="64"/>
      </bottom>
      <diagonal/>
    </border>
    <border>
      <left style="medium">
        <color indexed="64"/>
      </left>
      <right/>
      <top style="thin">
        <color indexed="64"/>
      </top>
      <bottom style="thin">
        <color rgb="FF000000"/>
      </bottom>
      <diagonal/>
    </border>
    <border>
      <left/>
      <right style="medium">
        <color indexed="64"/>
      </right>
      <top style="thin">
        <color indexed="64"/>
      </top>
      <bottom style="thin">
        <color rgb="FF000000"/>
      </bottom>
      <diagonal/>
    </border>
    <border>
      <left/>
      <right style="thin">
        <color rgb="FF000000"/>
      </right>
      <top style="medium">
        <color indexed="64"/>
      </top>
      <bottom style="thin">
        <color rgb="FF000000"/>
      </bottom>
      <diagonal/>
    </border>
    <border>
      <left style="medium">
        <color rgb="FF000000"/>
      </left>
      <right/>
      <top style="thin">
        <color rgb="FF000000"/>
      </top>
      <bottom style="medium">
        <color rgb="FF000000"/>
      </bottom>
      <diagonal/>
    </border>
    <border>
      <left style="thin">
        <color rgb="FF000000"/>
      </left>
      <right/>
      <top style="medium">
        <color indexed="64"/>
      </top>
      <bottom style="thin">
        <color rgb="FF000000"/>
      </bottom>
      <diagonal/>
    </border>
    <border>
      <left style="thin">
        <color indexed="64"/>
      </left>
      <right/>
      <top style="medium">
        <color indexed="64"/>
      </top>
      <bottom style="thin">
        <color rgb="FF000000"/>
      </bottom>
      <diagonal/>
    </border>
    <border>
      <left style="medium">
        <color rgb="FF000000"/>
      </left>
      <right style="medium">
        <color indexed="64"/>
      </right>
      <top style="thin">
        <color rgb="FF000000"/>
      </top>
      <bottom style="medium">
        <color rgb="FF000000"/>
      </bottom>
      <diagonal/>
    </border>
    <border>
      <left style="medium">
        <color rgb="FF000000"/>
      </left>
      <right style="medium">
        <color indexed="64"/>
      </right>
      <top style="thin">
        <color rgb="FF000000"/>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medium">
        <color rgb="FF000000"/>
      </top>
      <bottom/>
      <diagonal/>
    </border>
    <border>
      <left style="thin">
        <color rgb="FF000000"/>
      </left>
      <right style="medium">
        <color indexed="64"/>
      </right>
      <top style="thin">
        <color rgb="FF000000"/>
      </top>
      <bottom/>
      <diagonal/>
    </border>
    <border>
      <left style="thin">
        <color rgb="FF000000"/>
      </left>
      <right style="medium">
        <color indexed="64"/>
      </right>
      <top style="thin">
        <color rgb="FF000000"/>
      </top>
      <bottom style="medium">
        <color rgb="FF000000"/>
      </bottom>
      <diagonal/>
    </border>
    <border>
      <left style="thin">
        <color rgb="FF000000"/>
      </left>
      <right style="medium">
        <color indexed="64"/>
      </right>
      <top/>
      <bottom/>
      <diagonal/>
    </border>
    <border>
      <left style="thin">
        <color rgb="FF000000"/>
      </left>
      <right style="medium">
        <color indexed="64"/>
      </right>
      <top/>
      <bottom style="medium">
        <color rgb="FF000000"/>
      </bottom>
      <diagonal/>
    </border>
    <border>
      <left/>
      <right style="thin">
        <color indexed="64"/>
      </right>
      <top style="thin">
        <color indexed="64"/>
      </top>
      <bottom style="double">
        <color indexed="64"/>
      </bottom>
      <diagonal/>
    </border>
    <border>
      <left style="thin">
        <color indexed="64"/>
      </left>
      <right style="medium">
        <color indexed="64"/>
      </right>
      <top style="thin">
        <color rgb="FF000000"/>
      </top>
      <bottom style="thin">
        <color rgb="FF000000"/>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medium">
        <color rgb="FF000000"/>
      </bottom>
      <diagonal/>
    </border>
    <border>
      <left style="thin">
        <color rgb="FF000000"/>
      </left>
      <right style="thin">
        <color indexed="64"/>
      </right>
      <top/>
      <bottom/>
      <diagonal/>
    </border>
    <border>
      <left style="thin">
        <color indexed="64"/>
      </left>
      <right style="thin">
        <color indexed="64"/>
      </right>
      <top style="thin">
        <color rgb="FF000000"/>
      </top>
      <bottom/>
      <diagonal/>
    </border>
    <border>
      <left style="thin">
        <color indexed="64"/>
      </left>
      <right style="thin">
        <color indexed="64"/>
      </right>
      <top style="thin">
        <color indexed="64"/>
      </top>
      <bottom style="thin">
        <color rgb="FF000000"/>
      </bottom>
      <diagonal/>
    </border>
    <border>
      <left style="medium">
        <color indexed="64"/>
      </left>
      <right style="hair">
        <color auto="1"/>
      </right>
      <top style="medium">
        <color rgb="FF000000"/>
      </top>
      <bottom style="thin">
        <color auto="1"/>
      </bottom>
      <diagonal/>
    </border>
    <border>
      <left style="hair">
        <color auto="1"/>
      </left>
      <right style="medium">
        <color indexed="64"/>
      </right>
      <top style="medium">
        <color rgb="FF000000"/>
      </top>
      <bottom style="thin">
        <color auto="1"/>
      </bottom>
      <diagonal/>
    </border>
    <border>
      <left style="hair">
        <color auto="1"/>
      </left>
      <right style="medium">
        <color indexed="64"/>
      </right>
      <top/>
      <bottom/>
      <diagonal/>
    </border>
    <border>
      <left style="hair">
        <color auto="1"/>
      </left>
      <right style="medium">
        <color indexed="64"/>
      </right>
      <top style="thin">
        <color auto="1"/>
      </top>
      <bottom style="medium">
        <color indexed="64"/>
      </bottom>
      <diagonal/>
    </border>
  </borders>
  <cellStyleXfs count="198">
    <xf numFmtId="0" fontId="0" fillId="0" borderId="0"/>
    <xf numFmtId="169" fontId="2" fillId="0" borderId="0" applyFont="0" applyFill="0" applyBorder="0" applyAlignment="0" applyProtection="0"/>
    <xf numFmtId="168" fontId="2" fillId="0" borderId="0" applyFont="0" applyFill="0" applyBorder="0" applyAlignment="0" applyProtection="0"/>
    <xf numFmtId="9" fontId="2" fillId="0" borderId="0" applyFont="0" applyFill="0" applyBorder="0" applyAlignment="0" applyProtection="0"/>
    <xf numFmtId="0" fontId="5" fillId="0" borderId="0"/>
    <xf numFmtId="169" fontId="2" fillId="0" borderId="0" applyFont="0" applyFill="0" applyBorder="0" applyAlignment="0" applyProtection="0"/>
    <xf numFmtId="0" fontId="33" fillId="0" borderId="0" applyNumberFormat="0" applyFill="0" applyBorder="0" applyAlignment="0" applyProtection="0"/>
    <xf numFmtId="0" fontId="2" fillId="0" borderId="0"/>
    <xf numFmtId="0" fontId="35" fillId="0" borderId="0"/>
    <xf numFmtId="0" fontId="52" fillId="0" borderId="0"/>
    <xf numFmtId="9" fontId="52" fillId="0" borderId="0" applyFont="0" applyFill="0" applyBorder="0" applyAlignment="0" applyProtection="0"/>
    <xf numFmtId="0" fontId="2" fillId="0" borderId="0"/>
    <xf numFmtId="0" fontId="117" fillId="0" borderId="0" applyNumberFormat="0" applyFill="0" applyBorder="0" applyAlignment="0" applyProtection="0"/>
    <xf numFmtId="0" fontId="118" fillId="19" borderId="0" applyNumberFormat="0" applyBorder="0" applyAlignment="0" applyProtection="0"/>
    <xf numFmtId="0" fontId="119" fillId="20" borderId="0" applyNumberFormat="0" applyBorder="0" applyAlignment="0" applyProtection="0"/>
    <xf numFmtId="0" fontId="120" fillId="21" borderId="0" applyNumberFormat="0" applyBorder="0" applyAlignment="0" applyProtection="0"/>
    <xf numFmtId="0" fontId="121" fillId="22" borderId="178" applyNumberFormat="0" applyAlignment="0" applyProtection="0"/>
    <xf numFmtId="0" fontId="12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2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2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122" fillId="36"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122" fillId="40" borderId="0" applyNumberFormat="0" applyBorder="0" applyAlignment="0" applyProtection="0"/>
    <xf numFmtId="0" fontId="2"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122" fillId="44" borderId="0" applyNumberFormat="0" applyBorder="0" applyAlignment="0" applyProtection="0"/>
    <xf numFmtId="0" fontId="2" fillId="45"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5" fillId="0" borderId="0"/>
    <xf numFmtId="0" fontId="5" fillId="0" borderId="0"/>
    <xf numFmtId="0" fontId="123" fillId="0" borderId="0" applyNumberFormat="0" applyFill="0" applyBorder="0" applyAlignment="0" applyProtection="0">
      <alignment vertical="top"/>
      <protection locked="0"/>
    </xf>
    <xf numFmtId="0" fontId="5" fillId="0" borderId="0"/>
    <xf numFmtId="169" fontId="2" fillId="0" borderId="0" applyFont="0" applyFill="0" applyBorder="0" applyAlignment="0" applyProtection="0"/>
    <xf numFmtId="0" fontId="2" fillId="0" borderId="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0" fontId="1" fillId="0" borderId="0"/>
    <xf numFmtId="0" fontId="5" fillId="48" borderId="180" applyNumberFormat="0" applyAlignment="0" applyProtection="0"/>
    <xf numFmtId="0" fontId="126" fillId="49" borderId="181" applyNumberFormat="0" applyProtection="0">
      <alignment vertical="center"/>
    </xf>
    <xf numFmtId="169" fontId="1" fillId="0" borderId="0" applyFont="0" applyFill="0" applyBorder="0" applyAlignment="0" applyProtection="0"/>
    <xf numFmtId="0" fontId="127" fillId="0" borderId="0" applyNumberFormat="0" applyFill="0" applyBorder="0" applyAlignment="0" applyProtection="0"/>
    <xf numFmtId="0" fontId="128" fillId="0" borderId="0" applyNumberFormat="0" applyFill="0" applyBorder="0" applyAlignment="0" applyProtection="0"/>
    <xf numFmtId="0" fontId="125" fillId="0" borderId="0" applyNumberFormat="0" applyFill="0" applyBorder="0" applyAlignment="0" applyProtection="0">
      <alignment vertical="top"/>
      <protection locked="0"/>
    </xf>
    <xf numFmtId="0" fontId="5" fillId="50" borderId="177" applyNumberFormat="0" applyBorder="0" applyAlignment="0" applyProtection="0"/>
    <xf numFmtId="0" fontId="5" fillId="51" borderId="0">
      <alignment vertical="center"/>
    </xf>
    <xf numFmtId="0" fontId="5" fillId="10" borderId="182" applyNumberFormat="0" applyAlignment="0" applyProtection="0"/>
    <xf numFmtId="0" fontId="1" fillId="23" borderId="179" applyNumberFormat="0" applyFont="0" applyAlignment="0" applyProtection="0"/>
    <xf numFmtId="0" fontId="129" fillId="52" borderId="183" applyNumberFormat="0" applyAlignment="0" applyProtection="0"/>
    <xf numFmtId="0" fontId="5" fillId="53" borderId="184" applyNumberFormat="0" applyProtection="0">
      <alignment vertical="center"/>
    </xf>
    <xf numFmtId="0" fontId="129" fillId="13" borderId="0" applyNumberFormat="0" applyBorder="0" applyAlignment="0" applyProtection="0"/>
    <xf numFmtId="168"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 fillId="0" borderId="0" applyFont="0" applyFill="0" applyBorder="0" applyAlignment="0" applyProtection="0"/>
    <xf numFmtId="168" fontId="2" fillId="0" borderId="0" applyFont="0" applyFill="0" applyBorder="0" applyAlignment="0" applyProtection="0"/>
    <xf numFmtId="0" fontId="130" fillId="0" borderId="0" applyNumberFormat="0" applyFill="0" applyBorder="0" applyProtection="0">
      <alignment vertical="center"/>
    </xf>
    <xf numFmtId="0" fontId="124" fillId="0" borderId="0" applyNumberFormat="0" applyFill="0" applyBorder="0" applyProtection="0">
      <alignment vertical="center"/>
    </xf>
    <xf numFmtId="2" fontId="5" fillId="0" borderId="0" applyFill="0" applyBorder="0" applyProtection="0">
      <alignment vertical="center"/>
    </xf>
    <xf numFmtId="15" fontId="5" fillId="0" borderId="0" applyFill="0" applyBorder="0" applyProtection="0">
      <alignment vertical="center"/>
    </xf>
    <xf numFmtId="167" fontId="5" fillId="0" borderId="0" applyFont="0" applyFill="0" applyBorder="0" applyAlignment="0" applyProtection="0"/>
    <xf numFmtId="167"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0" fontId="5" fillId="0" borderId="0">
      <alignment vertical="center"/>
    </xf>
    <xf numFmtId="9" fontId="5" fillId="0" borderId="0" applyFont="0" applyFill="0" applyBorder="0" applyAlignment="0" applyProtection="0"/>
    <xf numFmtId="0" fontId="5" fillId="0" borderId="0" applyNumberFormat="0" applyFill="0" applyBorder="0" applyProtection="0">
      <alignment horizontal="left" vertical="center"/>
    </xf>
    <xf numFmtId="0" fontId="5" fillId="0" borderId="0" applyNumberFormat="0" applyFill="0" applyBorder="0" applyProtection="0">
      <alignment vertical="center"/>
    </xf>
    <xf numFmtId="0" fontId="5" fillId="0" borderId="0" applyNumberFormat="0" applyFill="0" applyBorder="0" applyProtection="0">
      <alignment vertical="center"/>
    </xf>
    <xf numFmtId="0" fontId="5" fillId="0" borderId="0" applyNumberFormat="0" applyFill="0" applyBorder="0" applyProtection="0">
      <alignment vertical="center"/>
    </xf>
    <xf numFmtId="0" fontId="5" fillId="0" borderId="0" applyNumberFormat="0" applyFill="0" applyBorder="0" applyProtection="0">
      <alignment horizontal="left" vertical="center"/>
    </xf>
    <xf numFmtId="0" fontId="5" fillId="0" borderId="0" applyNumberFormat="0" applyFill="0" applyBorder="0" applyProtection="0">
      <alignment vertical="center"/>
    </xf>
    <xf numFmtId="0" fontId="131" fillId="0" borderId="0" applyNumberFormat="0" applyFill="0" applyBorder="0" applyProtection="0">
      <alignment vertical="center"/>
    </xf>
    <xf numFmtId="0" fontId="132" fillId="0" borderId="0" applyNumberFormat="0" applyFill="0" applyBorder="0" applyProtection="0">
      <alignment vertical="center"/>
    </xf>
    <xf numFmtId="169" fontId="5" fillId="0" borderId="0" applyFont="0" applyFill="0" applyBorder="0" applyAlignment="0" applyProtection="0"/>
    <xf numFmtId="168" fontId="5" fillId="0" borderId="0" applyFont="0" applyFill="0" applyBorder="0" applyAlignment="0" applyProtection="0"/>
    <xf numFmtId="169" fontId="5" fillId="0" borderId="0" applyFont="0" applyFill="0" applyBorder="0" applyAlignment="0" applyProtection="0"/>
    <xf numFmtId="168" fontId="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59" fillId="0" borderId="0"/>
    <xf numFmtId="9" fontId="5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9" fontId="2" fillId="0" borderId="0" applyFont="0" applyFill="0" applyBorder="0" applyAlignment="0" applyProtection="0"/>
    <xf numFmtId="169" fontId="5" fillId="0" borderId="0" applyFont="0" applyFill="0" applyBorder="0" applyAlignment="0" applyProtection="0"/>
    <xf numFmtId="168" fontId="5" fillId="0" borderId="0" applyFont="0" applyFill="0" applyBorder="0" applyAlignment="0" applyProtection="0"/>
    <xf numFmtId="169" fontId="5" fillId="0" borderId="0" applyFont="0" applyFill="0" applyBorder="0" applyAlignment="0" applyProtection="0"/>
    <xf numFmtId="168" fontId="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cellStyleXfs>
  <cellXfs count="4483">
    <xf numFmtId="0" fontId="0" fillId="0" borderId="0" xfId="0"/>
    <xf numFmtId="0" fontId="3" fillId="0" borderId="0" xfId="0" applyFont="1"/>
    <xf numFmtId="0" fontId="12" fillId="0" borderId="0" xfId="0" applyFont="1" applyAlignment="1">
      <alignment vertical="top"/>
    </xf>
    <xf numFmtId="169" fontId="6" fillId="0" borderId="0" xfId="0" applyNumberFormat="1" applyFont="1" applyAlignment="1">
      <alignment horizontal="left" vertical="top"/>
    </xf>
    <xf numFmtId="0" fontId="15" fillId="0" borderId="0" xfId="0" applyFont="1" applyAlignment="1">
      <alignment horizontal="left" wrapText="1"/>
    </xf>
    <xf numFmtId="0" fontId="4" fillId="0" borderId="0" xfId="0" applyFont="1" applyAlignment="1">
      <alignment wrapText="1"/>
    </xf>
    <xf numFmtId="0" fontId="6" fillId="0" borderId="0" xfId="0" applyFont="1"/>
    <xf numFmtId="0" fontId="6" fillId="0" borderId="0" xfId="0" applyFont="1" applyAlignment="1">
      <alignment vertical="top"/>
    </xf>
    <xf numFmtId="0" fontId="10" fillId="0" borderId="0" xfId="0" applyFont="1"/>
    <xf numFmtId="0" fontId="10" fillId="0" borderId="0" xfId="0" applyFont="1" applyAlignment="1">
      <alignment wrapText="1"/>
    </xf>
    <xf numFmtId="0" fontId="20" fillId="0" borderId="0" xfId="0" applyFont="1"/>
    <xf numFmtId="0" fontId="20" fillId="0" borderId="0" xfId="0" applyFont="1" applyAlignment="1">
      <alignment wrapText="1"/>
    </xf>
    <xf numFmtId="0" fontId="25" fillId="0" borderId="0" xfId="0" applyFont="1"/>
    <xf numFmtId="0" fontId="27" fillId="0" borderId="0" xfId="0" applyFont="1" applyAlignment="1">
      <alignment vertical="center" wrapText="1"/>
    </xf>
    <xf numFmtId="0" fontId="6" fillId="0" borderId="0" xfId="0" applyFont="1" applyAlignment="1">
      <alignment wrapText="1"/>
    </xf>
    <xf numFmtId="0" fontId="19" fillId="0" borderId="0" xfId="0" applyFont="1"/>
    <xf numFmtId="0" fontId="10" fillId="0" borderId="0" xfId="0" applyFont="1" applyAlignment="1">
      <alignment horizontal="right"/>
    </xf>
    <xf numFmtId="0" fontId="6" fillId="0" borderId="0" xfId="0" applyFont="1" applyAlignment="1">
      <alignment horizontal="right"/>
    </xf>
    <xf numFmtId="0" fontId="18" fillId="2" borderId="27" xfId="0" applyFont="1" applyFill="1" applyBorder="1" applyAlignment="1">
      <alignment horizontal="center" vertical="center"/>
    </xf>
    <xf numFmtId="0" fontId="28" fillId="3" borderId="0" xfId="0" applyFont="1" applyFill="1" applyAlignment="1">
      <alignment horizontal="left"/>
    </xf>
    <xf numFmtId="0" fontId="31" fillId="0" borderId="0" xfId="0" applyFont="1"/>
    <xf numFmtId="169" fontId="10" fillId="0" borderId="0" xfId="0" applyNumberFormat="1" applyFont="1"/>
    <xf numFmtId="169" fontId="6" fillId="0" borderId="25" xfId="0" applyNumberFormat="1" applyFont="1" applyBorder="1" applyAlignment="1">
      <alignment horizontal="left" vertical="top"/>
    </xf>
    <xf numFmtId="169" fontId="6" fillId="0" borderId="16" xfId="0" applyNumberFormat="1" applyFont="1" applyBorder="1" applyAlignment="1">
      <alignment horizontal="left" vertical="top"/>
    </xf>
    <xf numFmtId="169" fontId="6" fillId="0" borderId="17" xfId="0" applyNumberFormat="1" applyFont="1" applyBorder="1" applyAlignment="1">
      <alignment horizontal="left" vertical="top"/>
    </xf>
    <xf numFmtId="0" fontId="0" fillId="0" borderId="0" xfId="0" applyAlignment="1">
      <alignment wrapText="1"/>
    </xf>
    <xf numFmtId="0" fontId="30" fillId="0" borderId="0" xfId="0" applyFont="1" applyAlignment="1">
      <alignment horizontal="left" vertic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Alignment="1">
      <alignment horizontal="left" vertical="center"/>
    </xf>
    <xf numFmtId="0" fontId="12" fillId="0" borderId="0" xfId="0" applyFont="1" applyAlignment="1">
      <alignment horizontal="left" vertical="center"/>
    </xf>
    <xf numFmtId="2" fontId="7" fillId="0" borderId="0" xfId="0" applyNumberFormat="1" applyFont="1" applyAlignment="1">
      <alignment horizontal="left" vertical="center"/>
    </xf>
    <xf numFmtId="0" fontId="10" fillId="0" borderId="0" xfId="0" applyFont="1" applyAlignment="1">
      <alignment horizontal="center"/>
    </xf>
    <xf numFmtId="0" fontId="29" fillId="0" borderId="0" xfId="0" applyFont="1" applyAlignment="1">
      <alignment horizontal="center" vertical="center"/>
    </xf>
    <xf numFmtId="0" fontId="10" fillId="0" borderId="0" xfId="0" applyFont="1" applyAlignment="1">
      <alignment horizontal="center" vertical="center"/>
    </xf>
    <xf numFmtId="0" fontId="30" fillId="0" borderId="0" xfId="0" applyFont="1" applyAlignment="1">
      <alignment horizontal="center" vertical="center"/>
    </xf>
    <xf numFmtId="3" fontId="12" fillId="0" borderId="1" xfId="0" applyNumberFormat="1" applyFont="1" applyBorder="1" applyAlignment="1">
      <alignment horizontal="center" vertical="center"/>
    </xf>
    <xf numFmtId="171" fontId="12" fillId="0" borderId="1" xfId="0" applyNumberFormat="1" applyFont="1" applyBorder="1" applyAlignment="1">
      <alignment horizontal="center" vertical="center"/>
    </xf>
    <xf numFmtId="3" fontId="12" fillId="0" borderId="0" xfId="0" applyNumberFormat="1" applyFont="1" applyAlignment="1">
      <alignment horizontal="center" vertical="center"/>
    </xf>
    <xf numFmtId="171" fontId="12" fillId="0" borderId="0" xfId="0" applyNumberFormat="1" applyFont="1" applyAlignment="1">
      <alignment horizontal="center" vertical="center"/>
    </xf>
    <xf numFmtId="2" fontId="12" fillId="0" borderId="0" xfId="0" applyNumberFormat="1" applyFont="1" applyAlignment="1">
      <alignment horizontal="center" vertical="center"/>
    </xf>
    <xf numFmtId="0" fontId="12" fillId="0" borderId="0" xfId="0" applyFont="1" applyAlignment="1">
      <alignment horizontal="center" vertical="center"/>
    </xf>
    <xf numFmtId="3" fontId="6" fillId="0" borderId="0" xfId="0" applyNumberFormat="1" applyFont="1" applyAlignment="1">
      <alignment horizontal="center" vertical="center"/>
    </xf>
    <xf numFmtId="171" fontId="6" fillId="0" borderId="0" xfId="0" applyNumberFormat="1" applyFont="1" applyAlignment="1">
      <alignment horizontal="center" vertical="center"/>
    </xf>
    <xf numFmtId="2" fontId="6" fillId="0" borderId="0" xfId="0" applyNumberFormat="1" applyFont="1" applyAlignment="1">
      <alignment horizontal="center" vertical="center"/>
    </xf>
    <xf numFmtId="2" fontId="17" fillId="2" borderId="1" xfId="0" applyNumberFormat="1" applyFont="1" applyFill="1" applyBorder="1" applyAlignment="1">
      <alignment horizontal="center" vertical="center" wrapText="1"/>
    </xf>
    <xf numFmtId="9" fontId="12" fillId="0" borderId="1" xfId="0" applyNumberFormat="1" applyFont="1" applyBorder="1" applyAlignment="1">
      <alignment horizontal="center" vertical="center"/>
    </xf>
    <xf numFmtId="9" fontId="12" fillId="0" borderId="0" xfId="0" applyNumberFormat="1" applyFont="1" applyAlignment="1">
      <alignment horizontal="center" vertical="center"/>
    </xf>
    <xf numFmtId="9" fontId="17" fillId="2" borderId="1" xfId="0" applyNumberFormat="1" applyFont="1" applyFill="1" applyBorder="1" applyAlignment="1">
      <alignment horizontal="center" vertical="center" wrapText="1"/>
    </xf>
    <xf numFmtId="0" fontId="10" fillId="0" borderId="0" xfId="0" applyFont="1" applyAlignment="1">
      <alignment horizontal="left" vertical="center"/>
    </xf>
    <xf numFmtId="0" fontId="39" fillId="0" borderId="0" xfId="0" applyFont="1"/>
    <xf numFmtId="0" fontId="42" fillId="0" borderId="0" xfId="0" applyFont="1"/>
    <xf numFmtId="0" fontId="43" fillId="0" borderId="0" xfId="0" applyFont="1"/>
    <xf numFmtId="0" fontId="19" fillId="3" borderId="0" xfId="0" applyFont="1" applyFill="1" applyAlignment="1">
      <alignment horizontal="left" vertical="center"/>
    </xf>
    <xf numFmtId="3" fontId="6" fillId="0" borderId="1" xfId="0" applyNumberFormat="1" applyFont="1" applyBorder="1" applyAlignment="1">
      <alignment horizontal="center" vertical="center"/>
    </xf>
    <xf numFmtId="3" fontId="6" fillId="0" borderId="1" xfId="5" applyNumberFormat="1" applyFont="1" applyFill="1" applyBorder="1" applyAlignment="1">
      <alignment horizontal="center" vertical="center"/>
    </xf>
    <xf numFmtId="0" fontId="6" fillId="0" borderId="0" xfId="0" applyFont="1" applyAlignment="1">
      <alignment vertical="center" wrapText="1"/>
    </xf>
    <xf numFmtId="3" fontId="6" fillId="0" borderId="1" xfId="0" applyNumberFormat="1" applyFont="1" applyBorder="1" applyAlignment="1">
      <alignment horizontal="right" vertical="center" wrapText="1"/>
    </xf>
    <xf numFmtId="0" fontId="19" fillId="3" borderId="0" xfId="0" applyFont="1" applyFill="1"/>
    <xf numFmtId="0" fontId="0" fillId="0" borderId="31" xfId="0" applyBorder="1"/>
    <xf numFmtId="0" fontId="17" fillId="2" borderId="1" xfId="0" applyFont="1" applyFill="1" applyBorder="1" applyAlignment="1">
      <alignment horizontal="center" vertical="center" wrapText="1"/>
    </xf>
    <xf numFmtId="0" fontId="18" fillId="2" borderId="115" xfId="0" applyFont="1" applyFill="1" applyBorder="1" applyAlignment="1">
      <alignment horizontal="center" vertical="center"/>
    </xf>
    <xf numFmtId="169" fontId="6" fillId="0" borderId="15" xfId="0" applyNumberFormat="1" applyFont="1" applyBorder="1" applyAlignment="1">
      <alignment horizontal="left" vertical="top"/>
    </xf>
    <xf numFmtId="169" fontId="6" fillId="0" borderId="18" xfId="0" applyNumberFormat="1" applyFont="1" applyBorder="1" applyAlignment="1">
      <alignment horizontal="left" vertical="top"/>
    </xf>
    <xf numFmtId="169" fontId="6" fillId="0" borderId="43" xfId="0" applyNumberFormat="1" applyFont="1" applyBorder="1" applyAlignment="1">
      <alignment horizontal="left" vertical="top"/>
    </xf>
    <xf numFmtId="0" fontId="18" fillId="2" borderId="117" xfId="0" applyFont="1" applyFill="1" applyBorder="1" applyAlignment="1">
      <alignment horizontal="center" vertical="center"/>
    </xf>
    <xf numFmtId="169" fontId="6" fillId="0" borderId="116" xfId="0" applyNumberFormat="1" applyFont="1" applyBorder="1" applyAlignment="1">
      <alignment horizontal="left" vertical="top"/>
    </xf>
    <xf numFmtId="169" fontId="6" fillId="0" borderId="118" xfId="0" applyNumberFormat="1" applyFont="1" applyBorder="1" applyAlignment="1">
      <alignment horizontal="left" vertical="top"/>
    </xf>
    <xf numFmtId="169" fontId="6" fillId="0" borderId="119" xfId="0" applyNumberFormat="1" applyFont="1" applyBorder="1" applyAlignment="1">
      <alignment horizontal="left" vertical="top"/>
    </xf>
    <xf numFmtId="0" fontId="18" fillId="2" borderId="122" xfId="0" applyFont="1" applyFill="1" applyBorder="1" applyAlignment="1">
      <alignment horizontal="center" vertical="center"/>
    </xf>
    <xf numFmtId="0" fontId="18" fillId="2" borderId="123" xfId="0" applyFont="1" applyFill="1" applyBorder="1" applyAlignment="1">
      <alignment horizontal="center" vertical="center"/>
    </xf>
    <xf numFmtId="169" fontId="6" fillId="0" borderId="82" xfId="0" applyNumberFormat="1" applyFont="1" applyBorder="1" applyAlignment="1">
      <alignment horizontal="left" vertical="top"/>
    </xf>
    <xf numFmtId="169" fontId="6" fillId="0" borderId="121" xfId="0" applyNumberFormat="1" applyFont="1" applyBorder="1" applyAlignment="1">
      <alignment horizontal="left" vertical="top"/>
    </xf>
    <xf numFmtId="169" fontId="6" fillId="0" borderId="2" xfId="0" applyNumberFormat="1" applyFont="1" applyBorder="1" applyAlignment="1">
      <alignment horizontal="left" vertical="top"/>
    </xf>
    <xf numFmtId="169" fontId="6" fillId="0" borderId="124" xfId="0" applyNumberFormat="1" applyFont="1" applyBorder="1" applyAlignment="1">
      <alignment horizontal="left" vertical="top"/>
    </xf>
    <xf numFmtId="169" fontId="6" fillId="0" borderId="125" xfId="0" applyNumberFormat="1" applyFont="1" applyBorder="1" applyAlignment="1">
      <alignment horizontal="left" vertical="top"/>
    </xf>
    <xf numFmtId="169" fontId="6" fillId="0" borderId="126" xfId="0" applyNumberFormat="1" applyFont="1" applyBorder="1" applyAlignment="1">
      <alignment horizontal="left" vertical="top"/>
    </xf>
    <xf numFmtId="0" fontId="18" fillId="4" borderId="26" xfId="0" applyFont="1" applyFill="1" applyBorder="1" applyAlignment="1">
      <alignment horizontal="center" vertical="center"/>
    </xf>
    <xf numFmtId="0" fontId="18" fillId="4" borderId="117" xfId="0" applyFont="1" applyFill="1" applyBorder="1" applyAlignment="1">
      <alignment horizontal="center" vertical="center"/>
    </xf>
    <xf numFmtId="169" fontId="6" fillId="4" borderId="14" xfId="0" applyNumberFormat="1" applyFont="1" applyFill="1" applyBorder="1" applyAlignment="1">
      <alignment horizontal="left" vertical="top"/>
    </xf>
    <xf numFmtId="169" fontId="6" fillId="4" borderId="116" xfId="0" applyNumberFormat="1" applyFont="1" applyFill="1" applyBorder="1" applyAlignment="1">
      <alignment horizontal="left" vertical="top"/>
    </xf>
    <xf numFmtId="169" fontId="6" fillId="4" borderId="23" xfId="0" applyNumberFormat="1" applyFont="1" applyFill="1" applyBorder="1" applyAlignment="1">
      <alignment horizontal="left" vertical="top"/>
    </xf>
    <xf numFmtId="169" fontId="6" fillId="4" borderId="118" xfId="0" applyNumberFormat="1" applyFont="1" applyFill="1" applyBorder="1" applyAlignment="1">
      <alignment horizontal="left" vertical="top"/>
    </xf>
    <xf numFmtId="169" fontId="6" fillId="4" borderId="21" xfId="0" applyNumberFormat="1" applyFont="1" applyFill="1" applyBorder="1" applyAlignment="1">
      <alignment horizontal="left" vertical="top"/>
    </xf>
    <xf numFmtId="169" fontId="6" fillId="4" borderId="119" xfId="0" applyNumberFormat="1" applyFont="1" applyFill="1" applyBorder="1" applyAlignment="1">
      <alignment horizontal="left" vertical="top"/>
    </xf>
    <xf numFmtId="0" fontId="17" fillId="2" borderId="1" xfId="0" applyFont="1" applyFill="1" applyBorder="1" applyAlignment="1">
      <alignment horizontal="center" wrapText="1"/>
    </xf>
    <xf numFmtId="2" fontId="12" fillId="0" borderId="1" xfId="0" applyNumberFormat="1" applyFont="1" applyBorder="1" applyAlignment="1">
      <alignment horizontal="left" vertical="top"/>
    </xf>
    <xf numFmtId="3" fontId="12" fillId="0" borderId="1" xfId="0" applyNumberFormat="1" applyFont="1" applyBorder="1" applyAlignment="1">
      <alignment horizontal="right" vertical="top"/>
    </xf>
    <xf numFmtId="171" fontId="12" fillId="0" borderId="1" xfId="0" applyNumberFormat="1" applyFont="1" applyBorder="1" applyAlignment="1">
      <alignment horizontal="right" vertical="top"/>
    </xf>
    <xf numFmtId="2" fontId="12" fillId="0" borderId="1" xfId="0" applyNumberFormat="1" applyFont="1" applyBorder="1" applyAlignment="1">
      <alignment horizontal="right" vertical="top"/>
    </xf>
    <xf numFmtId="2" fontId="17" fillId="2" borderId="1" xfId="0" applyNumberFormat="1" applyFont="1" applyFill="1" applyBorder="1" applyAlignment="1">
      <alignment horizontal="left" vertical="top" wrapText="1"/>
    </xf>
    <xf numFmtId="171" fontId="12" fillId="0" borderId="1" xfId="0" applyNumberFormat="1" applyFont="1" applyBorder="1" applyAlignment="1">
      <alignment horizontal="left" vertical="top"/>
    </xf>
    <xf numFmtId="9" fontId="12" fillId="0" borderId="1" xfId="0" applyNumberFormat="1" applyFont="1" applyBorder="1" applyAlignment="1">
      <alignment horizontal="left" vertical="top"/>
    </xf>
    <xf numFmtId="9" fontId="17" fillId="2" borderId="1" xfId="0" applyNumberFormat="1" applyFont="1" applyFill="1" applyBorder="1" applyAlignment="1">
      <alignment horizontal="left" vertical="top" wrapText="1"/>
    </xf>
    <xf numFmtId="9" fontId="12" fillId="0" borderId="1" xfId="0" applyNumberFormat="1" applyFont="1" applyBorder="1" applyAlignment="1">
      <alignment horizontal="right" vertical="top"/>
    </xf>
    <xf numFmtId="0" fontId="17" fillId="2" borderId="19" xfId="0" applyFont="1" applyFill="1" applyBorder="1" applyAlignment="1">
      <alignment horizontal="center" vertical="center" wrapText="1"/>
    </xf>
    <xf numFmtId="0" fontId="17" fillId="2" borderId="92" xfId="0" applyFont="1" applyFill="1" applyBorder="1" applyAlignment="1">
      <alignment horizontal="center" vertical="center" wrapText="1"/>
    </xf>
    <xf numFmtId="3" fontId="12" fillId="0" borderId="19" xfId="0" applyNumberFormat="1" applyFont="1" applyBorder="1" applyAlignment="1">
      <alignment horizontal="center" vertical="center"/>
    </xf>
    <xf numFmtId="3" fontId="12" fillId="0" borderId="92" xfId="0" applyNumberFormat="1" applyFont="1" applyBorder="1" applyAlignment="1">
      <alignment horizontal="center" vertical="center"/>
    </xf>
    <xf numFmtId="0" fontId="12" fillId="0" borderId="127" xfId="0" applyFont="1" applyBorder="1" applyAlignment="1">
      <alignment horizontal="center" vertical="center"/>
    </xf>
    <xf numFmtId="3" fontId="6" fillId="0" borderId="41" xfId="0" applyNumberFormat="1" applyFont="1" applyBorder="1" applyAlignment="1">
      <alignment horizontal="center" vertical="center"/>
    </xf>
    <xf numFmtId="0" fontId="6" fillId="0" borderId="127" xfId="0" applyFont="1" applyBorder="1" applyAlignment="1">
      <alignment horizontal="center" vertical="center"/>
    </xf>
    <xf numFmtId="0" fontId="12" fillId="0" borderId="41" xfId="0" applyFont="1" applyBorder="1" applyAlignment="1">
      <alignment horizontal="center" vertical="center"/>
    </xf>
    <xf numFmtId="0" fontId="10" fillId="0" borderId="127" xfId="0" applyFont="1" applyBorder="1" applyAlignment="1">
      <alignment horizontal="center" vertical="center"/>
    </xf>
    <xf numFmtId="3" fontId="12" fillId="0" borderId="84" xfId="0" applyNumberFormat="1" applyFont="1" applyBorder="1" applyAlignment="1">
      <alignment horizontal="center" vertical="center"/>
    </xf>
    <xf numFmtId="3" fontId="12" fillId="0" borderId="34" xfId="0" applyNumberFormat="1" applyFont="1" applyBorder="1" applyAlignment="1">
      <alignment horizontal="center" vertical="center"/>
    </xf>
    <xf numFmtId="0" fontId="10" fillId="0" borderId="43" xfId="0" applyFont="1" applyBorder="1" applyAlignment="1">
      <alignment horizontal="center" vertical="center"/>
    </xf>
    <xf numFmtId="0" fontId="10" fillId="0" borderId="128" xfId="0" applyFont="1" applyBorder="1" applyAlignment="1">
      <alignment horizontal="center" vertical="center"/>
    </xf>
    <xf numFmtId="0" fontId="17" fillId="2" borderId="19" xfId="0" applyFont="1" applyFill="1" applyBorder="1" applyAlignment="1">
      <alignment horizontal="center" wrapText="1"/>
    </xf>
    <xf numFmtId="0" fontId="17" fillId="2" borderId="92" xfId="0" applyFont="1" applyFill="1" applyBorder="1" applyAlignment="1">
      <alignment horizontal="center" wrapText="1"/>
    </xf>
    <xf numFmtId="3" fontId="12" fillId="0" borderId="19" xfId="0" applyNumberFormat="1" applyFont="1" applyBorder="1" applyAlignment="1">
      <alignment horizontal="right" vertical="top"/>
    </xf>
    <xf numFmtId="2" fontId="12" fillId="0" borderId="92" xfId="0" applyNumberFormat="1" applyFont="1" applyBorder="1" applyAlignment="1">
      <alignment horizontal="right" vertical="top"/>
    </xf>
    <xf numFmtId="3" fontId="12" fillId="0" borderId="41" xfId="0" applyNumberFormat="1" applyFont="1" applyBorder="1" applyAlignment="1">
      <alignment horizontal="left" vertical="top"/>
    </xf>
    <xf numFmtId="3" fontId="12" fillId="0" borderId="0" xfId="0" applyNumberFormat="1" applyFont="1" applyAlignment="1">
      <alignment horizontal="left" vertical="top"/>
    </xf>
    <xf numFmtId="171" fontId="12" fillId="0" borderId="0" xfId="0" applyNumberFormat="1" applyFont="1" applyAlignment="1">
      <alignment horizontal="left" vertical="top"/>
    </xf>
    <xf numFmtId="2" fontId="12" fillId="0" borderId="0" xfId="0" applyNumberFormat="1" applyFont="1" applyAlignment="1">
      <alignment horizontal="left" vertical="top"/>
    </xf>
    <xf numFmtId="3" fontId="6" fillId="0" borderId="41" xfId="0" applyNumberFormat="1" applyFont="1" applyBorder="1" applyAlignment="1">
      <alignment horizontal="left" vertical="top"/>
    </xf>
    <xf numFmtId="3" fontId="6" fillId="0" borderId="0" xfId="0" applyNumberFormat="1" applyFont="1" applyAlignment="1">
      <alignment horizontal="left" vertical="top"/>
    </xf>
    <xf numFmtId="171" fontId="6" fillId="0" borderId="0" xfId="0" applyNumberFormat="1" applyFont="1" applyAlignment="1">
      <alignment horizontal="left" vertical="top"/>
    </xf>
    <xf numFmtId="2" fontId="6" fillId="0" borderId="0" xfId="0" applyNumberFormat="1" applyFont="1" applyAlignment="1">
      <alignment horizontal="left" vertical="top"/>
    </xf>
    <xf numFmtId="0" fontId="6" fillId="0" borderId="127" xfId="0" applyFont="1" applyBorder="1" applyAlignment="1">
      <alignment horizontal="left" vertical="top"/>
    </xf>
    <xf numFmtId="0" fontId="47" fillId="3" borderId="0" xfId="0" applyFont="1" applyFill="1" applyAlignment="1">
      <alignment horizontal="left" vertical="top"/>
    </xf>
    <xf numFmtId="0" fontId="6" fillId="0" borderId="0" xfId="0" applyFont="1" applyAlignment="1">
      <alignment horizontal="left" vertical="top"/>
    </xf>
    <xf numFmtId="0" fontId="17" fillId="2" borderId="19" xfId="0" applyFont="1" applyFill="1" applyBorder="1" applyAlignment="1">
      <alignment horizontal="left" vertical="top" wrapText="1"/>
    </xf>
    <xf numFmtId="3" fontId="12" fillId="0" borderId="19" xfId="0" applyNumberFormat="1" applyFont="1" applyBorder="1" applyAlignment="1">
      <alignment horizontal="left" vertical="top"/>
    </xf>
    <xf numFmtId="0" fontId="12" fillId="0" borderId="41" xfId="0" applyFont="1" applyBorder="1" applyAlignment="1">
      <alignment horizontal="left" vertical="top"/>
    </xf>
    <xf numFmtId="0" fontId="12" fillId="0" borderId="0" xfId="0" applyFont="1" applyAlignment="1">
      <alignment horizontal="left" vertical="top"/>
    </xf>
    <xf numFmtId="9" fontId="12" fillId="0" borderId="0" xfId="0" applyNumberFormat="1" applyFont="1" applyAlignment="1">
      <alignment horizontal="left" vertical="top"/>
    </xf>
    <xf numFmtId="0" fontId="12" fillId="0" borderId="19" xfId="0" applyFont="1" applyBorder="1" applyAlignment="1">
      <alignment horizontal="right" vertical="top"/>
    </xf>
    <xf numFmtId="0" fontId="12" fillId="0" borderId="41" xfId="0" applyFont="1" applyBorder="1"/>
    <xf numFmtId="0" fontId="12" fillId="0" borderId="0" xfId="0" applyFont="1"/>
    <xf numFmtId="0" fontId="10" fillId="0" borderId="127" xfId="0" applyFont="1" applyBorder="1"/>
    <xf numFmtId="3" fontId="12" fillId="0" borderId="84" xfId="0" applyNumberFormat="1" applyFont="1" applyBorder="1" applyAlignment="1">
      <alignment horizontal="right" vertical="top"/>
    </xf>
    <xf numFmtId="171" fontId="12" fillId="0" borderId="34" xfId="0" applyNumberFormat="1" applyFont="1" applyBorder="1" applyAlignment="1">
      <alignment horizontal="right" vertical="top"/>
    </xf>
    <xf numFmtId="9" fontId="12" fillId="0" borderId="34" xfId="0" applyNumberFormat="1" applyFont="1" applyBorder="1" applyAlignment="1">
      <alignment horizontal="right" vertical="top"/>
    </xf>
    <xf numFmtId="2" fontId="12" fillId="0" borderId="34" xfId="0" applyNumberFormat="1" applyFont="1" applyBorder="1" applyAlignment="1">
      <alignment horizontal="right" vertical="top"/>
    </xf>
    <xf numFmtId="0" fontId="10" fillId="0" borderId="43" xfId="0" applyFont="1" applyBorder="1"/>
    <xf numFmtId="0" fontId="10" fillId="0" borderId="128" xfId="0" applyFont="1" applyBorder="1"/>
    <xf numFmtId="2" fontId="12" fillId="0" borderId="92" xfId="0" applyNumberFormat="1" applyFont="1" applyBorder="1" applyAlignment="1">
      <alignment horizontal="center" vertical="center"/>
    </xf>
    <xf numFmtId="0" fontId="12" fillId="0" borderId="19" xfId="0" applyFont="1" applyBorder="1" applyAlignment="1">
      <alignment horizontal="center" vertical="center"/>
    </xf>
    <xf numFmtId="171" fontId="12" fillId="0" borderId="34" xfId="0" applyNumberFormat="1" applyFont="1" applyBorder="1" applyAlignment="1">
      <alignment horizontal="center" vertical="center"/>
    </xf>
    <xf numFmtId="9" fontId="12" fillId="0" borderId="34" xfId="0" applyNumberFormat="1" applyFont="1" applyBorder="1" applyAlignment="1">
      <alignment horizontal="center" vertical="center"/>
    </xf>
    <xf numFmtId="173" fontId="6" fillId="0" borderId="1" xfId="1" applyNumberFormat="1" applyFont="1" applyFill="1" applyBorder="1" applyAlignment="1">
      <alignment horizontal="right" vertical="center" wrapText="1"/>
    </xf>
    <xf numFmtId="169" fontId="6" fillId="0" borderId="1" xfId="1" applyFont="1" applyFill="1" applyBorder="1" applyAlignment="1">
      <alignment horizontal="right" vertical="center" wrapText="1"/>
    </xf>
    <xf numFmtId="173" fontId="26" fillId="0" borderId="1" xfId="1" applyNumberFormat="1" applyFont="1" applyFill="1" applyBorder="1" applyAlignment="1">
      <alignment horizontal="right" vertical="center" wrapText="1"/>
    </xf>
    <xf numFmtId="173" fontId="10" fillId="0" borderId="0" xfId="0" applyNumberFormat="1" applyFont="1"/>
    <xf numFmtId="0" fontId="6" fillId="0" borderId="39" xfId="0" applyFont="1" applyBorder="1" applyAlignment="1">
      <alignment vertical="center" wrapText="1"/>
    </xf>
    <xf numFmtId="0" fontId="6" fillId="0" borderId="33" xfId="0" applyFont="1" applyBorder="1" applyAlignment="1">
      <alignment vertical="center" wrapText="1"/>
    </xf>
    <xf numFmtId="0" fontId="6" fillId="0" borderId="127" xfId="0" applyFont="1" applyBorder="1" applyAlignment="1">
      <alignment vertical="center" wrapText="1"/>
    </xf>
    <xf numFmtId="0" fontId="6" fillId="0" borderId="128" xfId="0" applyFont="1" applyBorder="1" applyAlignment="1">
      <alignment vertical="center" wrapText="1"/>
    </xf>
    <xf numFmtId="0" fontId="29" fillId="0" borderId="0" xfId="0" applyFont="1"/>
    <xf numFmtId="0" fontId="6" fillId="0" borderId="43" xfId="0" applyFont="1" applyBorder="1" applyAlignment="1">
      <alignment vertical="center" wrapText="1"/>
    </xf>
    <xf numFmtId="0" fontId="7" fillId="0" borderId="43" xfId="0" applyFont="1" applyBorder="1" applyAlignment="1">
      <alignment horizontal="center" vertical="center" wrapText="1"/>
    </xf>
    <xf numFmtId="0" fontId="6" fillId="0" borderId="127" xfId="0" applyFont="1" applyBorder="1" applyAlignment="1">
      <alignment horizontal="left" vertical="center" wrapText="1"/>
    </xf>
    <xf numFmtId="0" fontId="6" fillId="0" borderId="128" xfId="0" applyFont="1" applyBorder="1" applyAlignment="1">
      <alignment horizontal="left" vertical="center" wrapText="1"/>
    </xf>
    <xf numFmtId="0" fontId="6" fillId="3" borderId="132" xfId="0" applyFont="1" applyFill="1" applyBorder="1" applyAlignment="1">
      <alignment vertical="center" wrapText="1"/>
    </xf>
    <xf numFmtId="0" fontId="6" fillId="0" borderId="132" xfId="0" applyFont="1" applyBorder="1" applyAlignment="1">
      <alignment horizontal="left" vertical="center" wrapText="1"/>
    </xf>
    <xf numFmtId="0" fontId="6" fillId="5" borderId="127" xfId="0" applyFont="1" applyFill="1" applyBorder="1" applyAlignment="1">
      <alignment vertical="center" wrapText="1"/>
    </xf>
    <xf numFmtId="0" fontId="7" fillId="0" borderId="132" xfId="0" applyFont="1" applyBorder="1" applyAlignment="1">
      <alignment horizontal="center" vertical="center" wrapText="1"/>
    </xf>
    <xf numFmtId="0" fontId="6" fillId="0" borderId="95" xfId="0" applyFont="1" applyBorder="1" applyAlignment="1">
      <alignment vertical="center" wrapText="1"/>
    </xf>
    <xf numFmtId="0" fontId="6" fillId="0" borderId="130" xfId="0" applyFont="1" applyBorder="1" applyAlignment="1">
      <alignment vertical="center" wrapText="1"/>
    </xf>
    <xf numFmtId="0" fontId="6" fillId="0" borderId="131" xfId="0" applyFont="1" applyBorder="1" applyAlignment="1">
      <alignment horizontal="left" vertical="center" wrapText="1"/>
    </xf>
    <xf numFmtId="0" fontId="6" fillId="0" borderId="130" xfId="0" applyFont="1" applyBorder="1" applyAlignment="1">
      <alignment horizontal="left" vertical="center" wrapText="1"/>
    </xf>
    <xf numFmtId="0" fontId="6" fillId="0" borderId="131" xfId="0" applyFont="1" applyBorder="1" applyAlignment="1">
      <alignment horizontal="left" vertical="center"/>
    </xf>
    <xf numFmtId="0" fontId="12" fillId="0" borderId="127" xfId="0" applyFont="1" applyBorder="1" applyAlignment="1">
      <alignment horizontal="left" vertical="center" wrapText="1"/>
    </xf>
    <xf numFmtId="0" fontId="11" fillId="0" borderId="145" xfId="0" applyFont="1" applyBorder="1" applyAlignment="1">
      <alignment horizontal="left" vertical="center" wrapText="1" indent="2" readingOrder="1"/>
    </xf>
    <xf numFmtId="0" fontId="11" fillId="0" borderId="144" xfId="0" applyFont="1" applyBorder="1" applyAlignment="1">
      <alignment horizontal="left" vertical="center" wrapText="1" indent="2" readingOrder="1"/>
    </xf>
    <xf numFmtId="0" fontId="11" fillId="0" borderId="143" xfId="0" applyFont="1" applyBorder="1" applyAlignment="1">
      <alignment horizontal="left" vertical="center" wrapText="1" indent="2" readingOrder="1"/>
    </xf>
    <xf numFmtId="0" fontId="11" fillId="0" borderId="139" xfId="0" applyFont="1" applyBorder="1" applyAlignment="1">
      <alignment horizontal="left" vertical="center" wrapText="1" indent="2" readingOrder="1"/>
    </xf>
    <xf numFmtId="0" fontId="11" fillId="0" borderId="136" xfId="0" applyFont="1" applyBorder="1" applyAlignment="1">
      <alignment horizontal="left" vertical="center" wrapText="1" indent="2" readingOrder="1"/>
    </xf>
    <xf numFmtId="0" fontId="11" fillId="0" borderId="134" xfId="0" applyFont="1" applyBorder="1" applyAlignment="1">
      <alignment horizontal="left" vertical="center" wrapText="1" indent="2" readingOrder="1"/>
    </xf>
    <xf numFmtId="0" fontId="11" fillId="0" borderId="134" xfId="0" applyFont="1" applyBorder="1" applyAlignment="1">
      <alignment horizontal="justify" vertical="center" wrapText="1" readingOrder="1"/>
    </xf>
    <xf numFmtId="0" fontId="11" fillId="0" borderId="147" xfId="0" applyFont="1" applyBorder="1" applyAlignment="1">
      <alignment horizontal="justify" vertical="center" wrapText="1" readingOrder="1"/>
    </xf>
    <xf numFmtId="0" fontId="11" fillId="0" borderId="133" xfId="0" applyFont="1" applyBorder="1" applyAlignment="1">
      <alignment horizontal="justify" vertical="center" wrapText="1" readingOrder="1"/>
    </xf>
    <xf numFmtId="0" fontId="54" fillId="0" borderId="146" xfId="0" applyFont="1" applyBorder="1" applyAlignment="1">
      <alignment horizontal="left" vertical="center" wrapText="1" readingOrder="1"/>
    </xf>
    <xf numFmtId="0" fontId="11" fillId="0" borderId="147" xfId="0" applyFont="1" applyBorder="1" applyAlignment="1">
      <alignment horizontal="left" vertical="center" wrapText="1" indent="2" readingOrder="1"/>
    </xf>
    <xf numFmtId="0" fontId="11" fillId="0" borderId="133" xfId="0" applyFont="1" applyBorder="1" applyAlignment="1">
      <alignment horizontal="left" vertical="center" wrapText="1" indent="2" readingOrder="1"/>
    </xf>
    <xf numFmtId="0" fontId="50" fillId="0" borderId="153" xfId="0" applyFont="1" applyBorder="1" applyAlignment="1">
      <alignment horizontal="left" vertical="center" wrapText="1" readingOrder="1"/>
    </xf>
    <xf numFmtId="0" fontId="6" fillId="5" borderId="33" xfId="0" applyFont="1" applyFill="1" applyBorder="1" applyAlignment="1">
      <alignment vertical="center" wrapText="1"/>
    </xf>
    <xf numFmtId="0" fontId="6" fillId="5" borderId="95" xfId="0" applyFont="1" applyFill="1" applyBorder="1" applyAlignment="1">
      <alignment vertical="center" wrapText="1"/>
    </xf>
    <xf numFmtId="0" fontId="52" fillId="0" borderId="0" xfId="9"/>
    <xf numFmtId="0" fontId="55" fillId="0" borderId="91" xfId="9" applyFont="1" applyBorder="1" applyAlignment="1">
      <alignment vertical="center"/>
    </xf>
    <xf numFmtId="0" fontId="6" fillId="0" borderId="41" xfId="9" applyFont="1" applyBorder="1"/>
    <xf numFmtId="0" fontId="7" fillId="0" borderId="87" xfId="9" applyFont="1" applyBorder="1" applyAlignment="1">
      <alignment horizontal="center" vertical="top"/>
    </xf>
    <xf numFmtId="0" fontId="55" fillId="0" borderId="14" xfId="9" applyFont="1" applyBorder="1" applyAlignment="1">
      <alignment horizontal="center" vertical="center"/>
    </xf>
    <xf numFmtId="0" fontId="55" fillId="0" borderId="23" xfId="9" applyFont="1" applyBorder="1" applyAlignment="1">
      <alignment horizontal="center" vertical="center"/>
    </xf>
    <xf numFmtId="0" fontId="55" fillId="0" borderId="36" xfId="9" applyFont="1" applyBorder="1" applyAlignment="1">
      <alignment horizontal="center" vertical="center"/>
    </xf>
    <xf numFmtId="3" fontId="53" fillId="0" borderId="6" xfId="9" applyNumberFormat="1" applyFont="1" applyBorder="1" applyAlignment="1">
      <alignment horizontal="center" vertical="top"/>
    </xf>
    <xf numFmtId="3" fontId="53" fillId="0" borderId="28" xfId="9" applyNumberFormat="1" applyFont="1" applyBorder="1" applyAlignment="1">
      <alignment horizontal="center" vertical="top"/>
    </xf>
    <xf numFmtId="3" fontId="53" fillId="0" borderId="37" xfId="9" applyNumberFormat="1" applyFont="1" applyBorder="1" applyAlignment="1">
      <alignment horizontal="center" vertical="top"/>
    </xf>
    <xf numFmtId="3" fontId="53" fillId="0" borderId="34" xfId="9" applyNumberFormat="1" applyFont="1" applyBorder="1" applyAlignment="1">
      <alignment horizontal="center" vertical="top"/>
    </xf>
    <xf numFmtId="3" fontId="53" fillId="0" borderId="3" xfId="9" applyNumberFormat="1" applyFont="1" applyBorder="1" applyAlignment="1">
      <alignment horizontal="center" vertical="top"/>
    </xf>
    <xf numFmtId="3" fontId="53" fillId="0" borderId="1" xfId="9" applyNumberFormat="1" applyFont="1" applyBorder="1" applyAlignment="1">
      <alignment horizontal="center" vertical="top"/>
    </xf>
    <xf numFmtId="3" fontId="53" fillId="0" borderId="92" xfId="9" applyNumberFormat="1" applyFont="1" applyBorder="1" applyAlignment="1">
      <alignment horizontal="center" vertical="top"/>
    </xf>
    <xf numFmtId="0" fontId="53" fillId="0" borderId="0" xfId="9" applyFont="1" applyAlignment="1">
      <alignment horizontal="left" vertical="top"/>
    </xf>
    <xf numFmtId="0" fontId="53" fillId="0" borderId="0" xfId="9" applyFont="1" applyAlignment="1">
      <alignment horizontal="center" vertical="top"/>
    </xf>
    <xf numFmtId="0" fontId="6" fillId="0" borderId="0" xfId="9" applyFont="1" applyAlignment="1">
      <alignment wrapText="1"/>
    </xf>
    <xf numFmtId="0" fontId="58" fillId="0" borderId="4" xfId="9" applyFont="1" applyBorder="1" applyAlignment="1">
      <alignment horizontal="center" vertical="top"/>
    </xf>
    <xf numFmtId="3" fontId="55" fillId="0" borderId="4" xfId="9" applyNumberFormat="1" applyFont="1" applyBorder="1" applyAlignment="1">
      <alignment horizontal="left" vertical="top" wrapText="1"/>
    </xf>
    <xf numFmtId="3" fontId="55" fillId="0" borderId="19" xfId="9" applyNumberFormat="1" applyFont="1" applyBorder="1" applyAlignment="1">
      <alignment horizontal="left" vertical="top" wrapText="1"/>
    </xf>
    <xf numFmtId="0" fontId="1" fillId="0" borderId="0" xfId="0" applyFont="1" applyAlignment="1">
      <alignment wrapText="1"/>
    </xf>
    <xf numFmtId="0" fontId="0" fillId="0" borderId="0" xfId="0" applyAlignment="1">
      <alignment vertical="center" wrapText="1"/>
    </xf>
    <xf numFmtId="0" fontId="60" fillId="0" borderId="0" xfId="0" applyFont="1"/>
    <xf numFmtId="0" fontId="61" fillId="0" borderId="0" xfId="0" applyFont="1"/>
    <xf numFmtId="0" fontId="18" fillId="0" borderId="0" xfId="0" applyFont="1" applyAlignment="1">
      <alignment wrapText="1"/>
    </xf>
    <xf numFmtId="0" fontId="52" fillId="0" borderId="0" xfId="0" applyFont="1" applyAlignment="1">
      <alignment horizontal="center"/>
    </xf>
    <xf numFmtId="0" fontId="52" fillId="0" borderId="0" xfId="0" applyFont="1"/>
    <xf numFmtId="2" fontId="12" fillId="0" borderId="18" xfId="0" applyNumberFormat="1" applyFont="1" applyBorder="1" applyAlignment="1">
      <alignment horizontal="left" vertical="center"/>
    </xf>
    <xf numFmtId="2" fontId="17" fillId="2" borderId="18" xfId="0" applyNumberFormat="1" applyFont="1" applyFill="1" applyBorder="1" applyAlignment="1">
      <alignment horizontal="left" vertical="center" wrapText="1"/>
    </xf>
    <xf numFmtId="0" fontId="10" fillId="0" borderId="0" xfId="0" applyFont="1" applyAlignment="1">
      <alignment textRotation="90"/>
    </xf>
    <xf numFmtId="0" fontId="7" fillId="0" borderId="0" xfId="0" applyFont="1"/>
    <xf numFmtId="10" fontId="10" fillId="0" borderId="0" xfId="0" applyNumberFormat="1" applyFont="1"/>
    <xf numFmtId="172" fontId="10" fillId="0" borderId="0" xfId="0" applyNumberFormat="1" applyFont="1"/>
    <xf numFmtId="0" fontId="62" fillId="0" borderId="0" xfId="0" applyFont="1"/>
    <xf numFmtId="0" fontId="6" fillId="7" borderId="39" xfId="0" applyFont="1" applyFill="1" applyBorder="1" applyAlignment="1">
      <alignment vertical="center" wrapText="1"/>
    </xf>
    <xf numFmtId="0" fontId="6" fillId="7" borderId="132" xfId="0" applyFont="1" applyFill="1" applyBorder="1" applyAlignment="1">
      <alignment vertical="center" wrapText="1"/>
    </xf>
    <xf numFmtId="0" fontId="39" fillId="0" borderId="0" xfId="0" applyFont="1" applyAlignment="1">
      <alignment wrapText="1"/>
    </xf>
    <xf numFmtId="0" fontId="38" fillId="0" borderId="0" xfId="0" applyFont="1"/>
    <xf numFmtId="172" fontId="39" fillId="0" borderId="0" xfId="3" applyNumberFormat="1" applyFont="1"/>
    <xf numFmtId="9" fontId="39" fillId="0" borderId="0" xfId="0" applyNumberFormat="1" applyFont="1" applyAlignment="1">
      <alignment wrapText="1"/>
    </xf>
    <xf numFmtId="10" fontId="39" fillId="0" borderId="0" xfId="0" applyNumberFormat="1" applyFont="1" applyAlignment="1">
      <alignment wrapText="1"/>
    </xf>
    <xf numFmtId="0" fontId="65" fillId="0" borderId="0" xfId="0" applyFont="1" applyAlignment="1">
      <alignment horizontal="left" vertical="center"/>
    </xf>
    <xf numFmtId="0" fontId="66" fillId="0" borderId="0" xfId="0" applyFont="1" applyAlignment="1">
      <alignment horizontal="center" vertical="center"/>
    </xf>
    <xf numFmtId="0" fontId="67" fillId="0" borderId="0" xfId="0" applyFont="1" applyAlignment="1">
      <alignment wrapText="1"/>
    </xf>
    <xf numFmtId="0" fontId="68" fillId="0" borderId="0" xfId="0" applyFont="1" applyAlignment="1">
      <alignment horizontal="center" vertical="center" wrapText="1"/>
    </xf>
    <xf numFmtId="0" fontId="67" fillId="0" borderId="0" xfId="0" applyFont="1" applyAlignment="1">
      <alignment vertical="center"/>
    </xf>
    <xf numFmtId="0" fontId="67" fillId="0" borderId="0" xfId="0" applyFont="1" applyAlignment="1">
      <alignment horizontal="center" vertical="center"/>
    </xf>
    <xf numFmtId="0" fontId="69" fillId="0" borderId="0" xfId="0" applyFont="1" applyAlignment="1">
      <alignment horizontal="center" vertical="center"/>
    </xf>
    <xf numFmtId="0" fontId="67" fillId="0" borderId="0" xfId="0" applyFont="1"/>
    <xf numFmtId="172" fontId="67" fillId="0" borderId="0" xfId="0" applyNumberFormat="1" applyFont="1"/>
    <xf numFmtId="0" fontId="68" fillId="0" borderId="0" xfId="0" applyFont="1"/>
    <xf numFmtId="0" fontId="70" fillId="2" borderId="8" xfId="0" applyFont="1" applyFill="1" applyBorder="1" applyAlignment="1">
      <alignment horizontal="left" vertical="center" wrapText="1"/>
    </xf>
    <xf numFmtId="0" fontId="71" fillId="2" borderId="8" xfId="0" applyFont="1" applyFill="1" applyBorder="1" applyAlignment="1">
      <alignment horizontal="left" vertical="center" wrapText="1"/>
    </xf>
    <xf numFmtId="0" fontId="72" fillId="2" borderId="8" xfId="0" applyFont="1" applyFill="1" applyBorder="1" applyAlignment="1">
      <alignment horizontal="center" vertical="center" wrapText="1"/>
    </xf>
    <xf numFmtId="0" fontId="70" fillId="2" borderId="8" xfId="0" applyFont="1" applyFill="1" applyBorder="1" applyAlignment="1">
      <alignment horizontal="center" vertical="center" wrapText="1"/>
    </xf>
    <xf numFmtId="172" fontId="70" fillId="2" borderId="8" xfId="0" applyNumberFormat="1" applyFont="1" applyFill="1" applyBorder="1" applyAlignment="1">
      <alignment horizontal="center" vertical="center" wrapText="1"/>
    </xf>
    <xf numFmtId="0" fontId="75" fillId="0" borderId="5" xfId="0" applyFont="1" applyBorder="1" applyAlignment="1">
      <alignment horizontal="left" vertical="center" wrapText="1"/>
    </xf>
    <xf numFmtId="0" fontId="75" fillId="0" borderId="5" xfId="0" applyFont="1" applyBorder="1" applyAlignment="1">
      <alignment horizontal="center" vertical="center" wrapText="1"/>
    </xf>
    <xf numFmtId="0" fontId="76" fillId="0" borderId="5" xfId="0" applyFont="1" applyBorder="1" applyAlignment="1">
      <alignment horizontal="center" vertical="center" wrapText="1"/>
    </xf>
    <xf numFmtId="0" fontId="77" fillId="0" borderId="80" xfId="0" applyFont="1" applyBorder="1" applyAlignment="1">
      <alignment horizontal="center" vertical="center" wrapText="1"/>
    </xf>
    <xf numFmtId="0" fontId="78" fillId="0" borderId="5" xfId="0" applyFont="1" applyBorder="1" applyAlignment="1">
      <alignment horizontal="center" vertical="center" wrapText="1"/>
    </xf>
    <xf numFmtId="9" fontId="78" fillId="0" borderId="5" xfId="0" applyNumberFormat="1" applyFont="1" applyBorder="1" applyAlignment="1">
      <alignment horizontal="center" vertical="center" wrapText="1"/>
    </xf>
    <xf numFmtId="0" fontId="78" fillId="10" borderId="40" xfId="0" applyFont="1" applyFill="1" applyBorder="1" applyAlignment="1">
      <alignment horizontal="center" wrapText="1"/>
    </xf>
    <xf numFmtId="14" fontId="68" fillId="0" borderId="0" xfId="0" applyNumberFormat="1" applyFont="1" applyAlignment="1">
      <alignment horizontal="left"/>
    </xf>
    <xf numFmtId="0" fontId="68" fillId="0" borderId="0" xfId="0" applyFont="1" applyAlignment="1">
      <alignment horizontal="left"/>
    </xf>
    <xf numFmtId="0" fontId="75" fillId="0" borderId="1" xfId="0" applyFont="1" applyBorder="1" applyAlignment="1">
      <alignment horizontal="center" vertical="center" wrapText="1"/>
    </xf>
    <xf numFmtId="0" fontId="76" fillId="0" borderId="1" xfId="0" applyFont="1" applyBorder="1" applyAlignment="1">
      <alignment horizontal="center" vertical="center" wrapText="1"/>
    </xf>
    <xf numFmtId="0" fontId="77" fillId="0" borderId="1" xfId="0" applyFont="1" applyBorder="1" applyAlignment="1">
      <alignment horizontal="center" vertical="center" wrapText="1"/>
    </xf>
    <xf numFmtId="0" fontId="78" fillId="0" borderId="1" xfId="0" applyFont="1" applyBorder="1" applyAlignment="1">
      <alignment horizontal="center" vertical="center" wrapText="1"/>
    </xf>
    <xf numFmtId="0" fontId="78" fillId="12" borderId="92" xfId="0" applyFont="1" applyFill="1" applyBorder="1" applyAlignment="1">
      <alignment horizontal="center" wrapText="1"/>
    </xf>
    <xf numFmtId="0" fontId="80" fillId="0" borderId="1" xfId="0" applyFont="1" applyBorder="1" applyAlignment="1">
      <alignment horizontal="center" vertical="center" wrapText="1"/>
    </xf>
    <xf numFmtId="0" fontId="80" fillId="5" borderId="170" xfId="0" applyFont="1" applyFill="1" applyBorder="1" applyAlignment="1">
      <alignment horizontal="left" vertical="center" wrapText="1"/>
    </xf>
    <xf numFmtId="3" fontId="81" fillId="0" borderId="1" xfId="2" applyNumberFormat="1" applyFont="1" applyFill="1" applyBorder="1" applyAlignment="1">
      <alignment horizontal="center" vertical="center" wrapText="1"/>
    </xf>
    <xf numFmtId="3" fontId="82" fillId="0" borderId="1" xfId="2" applyNumberFormat="1" applyFont="1" applyFill="1" applyBorder="1" applyAlignment="1">
      <alignment horizontal="center" vertical="center" wrapText="1"/>
    </xf>
    <xf numFmtId="172" fontId="81" fillId="0" borderId="1" xfId="3" applyNumberFormat="1" applyFont="1" applyFill="1" applyBorder="1" applyAlignment="1">
      <alignment horizontal="center" vertical="center" wrapText="1"/>
    </xf>
    <xf numFmtId="172" fontId="81" fillId="10" borderId="92" xfId="3" applyNumberFormat="1" applyFont="1" applyFill="1" applyBorder="1" applyAlignment="1">
      <alignment horizontal="center" vertical="center" wrapText="1"/>
    </xf>
    <xf numFmtId="0" fontId="80" fillId="5" borderId="171" xfId="0" applyFont="1" applyFill="1" applyBorder="1" applyAlignment="1">
      <alignment horizontal="left" vertical="center" wrapText="1"/>
    </xf>
    <xf numFmtId="172" fontId="82" fillId="0" borderId="1" xfId="2" applyNumberFormat="1" applyFont="1" applyFill="1" applyBorder="1" applyAlignment="1">
      <alignment horizontal="center" vertical="center" wrapText="1"/>
    </xf>
    <xf numFmtId="172" fontId="81" fillId="0" borderId="1" xfId="2" applyNumberFormat="1" applyFont="1" applyFill="1" applyBorder="1" applyAlignment="1">
      <alignment horizontal="center" vertical="center" wrapText="1"/>
    </xf>
    <xf numFmtId="4" fontId="68" fillId="0" borderId="0" xfId="0" applyNumberFormat="1" applyFont="1" applyAlignment="1">
      <alignment horizontal="left"/>
    </xf>
    <xf numFmtId="168" fontId="80" fillId="5" borderId="172" xfId="2" applyFont="1" applyFill="1" applyBorder="1" applyAlignment="1">
      <alignment horizontal="left" vertical="center" wrapText="1"/>
    </xf>
    <xf numFmtId="179" fontId="81" fillId="0" borderId="1" xfId="2" applyNumberFormat="1" applyFont="1" applyFill="1" applyBorder="1" applyAlignment="1">
      <alignment horizontal="center" vertical="center" wrapText="1"/>
    </xf>
    <xf numFmtId="172" fontId="81" fillId="13" borderId="92" xfId="3" applyNumberFormat="1" applyFont="1" applyFill="1" applyBorder="1" applyAlignment="1">
      <alignment horizontal="center" vertical="center" wrapText="1"/>
    </xf>
    <xf numFmtId="168" fontId="80" fillId="5" borderId="173" xfId="2" applyFont="1" applyFill="1" applyBorder="1" applyAlignment="1">
      <alignment horizontal="left" vertical="center" wrapText="1"/>
    </xf>
    <xf numFmtId="174" fontId="81" fillId="0" borderId="1" xfId="2" applyNumberFormat="1" applyFont="1" applyFill="1" applyBorder="1" applyAlignment="1">
      <alignment horizontal="center" vertical="center" wrapText="1"/>
    </xf>
    <xf numFmtId="168" fontId="80" fillId="5" borderId="174" xfId="2" applyFont="1" applyFill="1" applyBorder="1" applyAlignment="1">
      <alignment horizontal="left" vertical="center" wrapText="1"/>
    </xf>
    <xf numFmtId="0" fontId="80" fillId="5" borderId="172" xfId="0" applyFont="1" applyFill="1" applyBorder="1" applyAlignment="1">
      <alignment horizontal="left" vertical="center" wrapText="1"/>
    </xf>
    <xf numFmtId="172" fontId="80" fillId="0" borderId="1" xfId="0" applyNumberFormat="1" applyFont="1" applyBorder="1" applyAlignment="1">
      <alignment horizontal="center" vertical="center"/>
    </xf>
    <xf numFmtId="0" fontId="78" fillId="10" borderId="92" xfId="0" applyFont="1" applyFill="1" applyBorder="1" applyAlignment="1">
      <alignment horizontal="center" wrapText="1"/>
    </xf>
    <xf numFmtId="172" fontId="80" fillId="0" borderId="1" xfId="3" applyNumberFormat="1" applyFont="1" applyFill="1" applyBorder="1" applyAlignment="1">
      <alignment horizontal="center" vertical="center" wrapText="1"/>
    </xf>
    <xf numFmtId="0" fontId="80" fillId="5" borderId="175" xfId="0" applyFont="1" applyFill="1" applyBorder="1" applyAlignment="1">
      <alignment horizontal="left" vertical="center" wrapText="1"/>
    </xf>
    <xf numFmtId="1" fontId="80" fillId="0" borderId="1" xfId="2" applyNumberFormat="1" applyFont="1" applyFill="1" applyBorder="1" applyAlignment="1">
      <alignment horizontal="center" vertical="center" wrapText="1"/>
    </xf>
    <xf numFmtId="1" fontId="81" fillId="0" borderId="1" xfId="2" applyNumberFormat="1" applyFont="1" applyFill="1" applyBorder="1" applyAlignment="1">
      <alignment horizontal="center" vertical="center" wrapText="1"/>
    </xf>
    <xf numFmtId="0" fontId="75" fillId="0" borderId="1" xfId="0" applyFont="1" applyBorder="1" applyAlignment="1">
      <alignment horizontal="left" wrapText="1"/>
    </xf>
    <xf numFmtId="9" fontId="78" fillId="0" borderId="1" xfId="0" applyNumberFormat="1" applyFont="1" applyBorder="1" applyAlignment="1">
      <alignment horizontal="center" vertical="center" wrapText="1"/>
    </xf>
    <xf numFmtId="3" fontId="80" fillId="0" borderId="1" xfId="0" applyNumberFormat="1" applyFont="1" applyBorder="1" applyAlignment="1">
      <alignment horizontal="center" vertical="center"/>
    </xf>
    <xf numFmtId="3" fontId="80" fillId="3" borderId="1" xfId="0" applyNumberFormat="1" applyFont="1" applyFill="1" applyBorder="1" applyAlignment="1">
      <alignment horizontal="center" vertical="center"/>
    </xf>
    <xf numFmtId="172" fontId="78" fillId="0" borderId="1" xfId="0" applyNumberFormat="1" applyFont="1" applyBorder="1" applyAlignment="1">
      <alignment horizontal="center" vertical="center" wrapText="1"/>
    </xf>
    <xf numFmtId="0" fontId="68" fillId="12" borderId="1" xfId="0" applyFont="1" applyFill="1" applyBorder="1" applyAlignment="1">
      <alignment horizontal="left"/>
    </xf>
    <xf numFmtId="174" fontId="80" fillId="3" borderId="1" xfId="0" applyNumberFormat="1" applyFont="1" applyFill="1" applyBorder="1" applyAlignment="1">
      <alignment horizontal="center" vertical="center"/>
    </xf>
    <xf numFmtId="0" fontId="80" fillId="0" borderId="1" xfId="0" applyFont="1" applyBorder="1" applyAlignment="1">
      <alignment horizontal="center" vertical="center"/>
    </xf>
    <xf numFmtId="172" fontId="80" fillId="3" borderId="1" xfId="0" applyNumberFormat="1" applyFont="1" applyFill="1" applyBorder="1" applyAlignment="1">
      <alignment horizontal="center" vertical="center"/>
    </xf>
    <xf numFmtId="172" fontId="80" fillId="0" borderId="1" xfId="2" applyNumberFormat="1" applyFont="1" applyFill="1" applyBorder="1" applyAlignment="1">
      <alignment horizontal="center" vertical="center" wrapText="1"/>
    </xf>
    <xf numFmtId="172" fontId="81" fillId="3" borderId="1" xfId="2" applyNumberFormat="1" applyFont="1" applyFill="1" applyBorder="1" applyAlignment="1">
      <alignment horizontal="center" vertical="center" wrapText="1"/>
    </xf>
    <xf numFmtId="0" fontId="78" fillId="10" borderId="1" xfId="0" applyFont="1" applyFill="1" applyBorder="1" applyAlignment="1">
      <alignment horizontal="center" wrapText="1"/>
    </xf>
    <xf numFmtId="0" fontId="75" fillId="3" borderId="1" xfId="0" applyFont="1" applyFill="1" applyBorder="1" applyAlignment="1">
      <alignment horizontal="left" wrapText="1"/>
    </xf>
    <xf numFmtId="0" fontId="80" fillId="0" borderId="1" xfId="0" applyFont="1" applyBorder="1" applyAlignment="1">
      <alignment horizontal="left" vertical="center" wrapText="1"/>
    </xf>
    <xf numFmtId="172" fontId="75" fillId="0" borderId="1" xfId="0" applyNumberFormat="1" applyFont="1" applyBorder="1" applyAlignment="1">
      <alignment horizontal="center" vertical="center" wrapText="1"/>
    </xf>
    <xf numFmtId="3" fontId="75" fillId="0" borderId="1" xfId="0" applyNumberFormat="1" applyFont="1" applyBorder="1" applyAlignment="1">
      <alignment horizontal="center" vertical="center" wrapText="1"/>
    </xf>
    <xf numFmtId="3" fontId="78" fillId="0" borderId="1" xfId="0" applyNumberFormat="1" applyFont="1" applyBorder="1" applyAlignment="1">
      <alignment horizontal="center" vertical="center" wrapText="1"/>
    </xf>
    <xf numFmtId="0" fontId="80" fillId="0" borderId="1" xfId="0" applyFont="1" applyBorder="1" applyAlignment="1">
      <alignment horizontal="left" vertical="center"/>
    </xf>
    <xf numFmtId="170" fontId="75" fillId="0" borderId="1" xfId="0" applyNumberFormat="1" applyFont="1" applyBorder="1" applyAlignment="1">
      <alignment horizontal="center" vertical="center" wrapText="1"/>
    </xf>
    <xf numFmtId="170" fontId="78" fillId="0" borderId="1" xfId="0" applyNumberFormat="1" applyFont="1" applyBorder="1" applyAlignment="1">
      <alignment horizontal="center" vertical="center" wrapText="1"/>
    </xf>
    <xf numFmtId="4" fontId="75" fillId="0" borderId="1" xfId="0" applyNumberFormat="1" applyFont="1" applyBorder="1" applyAlignment="1">
      <alignment horizontal="center" vertical="center" wrapText="1"/>
    </xf>
    <xf numFmtId="4" fontId="78" fillId="0" borderId="1" xfId="0" applyNumberFormat="1" applyFont="1" applyBorder="1" applyAlignment="1">
      <alignment horizontal="center" vertical="center" wrapText="1"/>
    </xf>
    <xf numFmtId="9" fontId="81" fillId="0" borderId="1" xfId="3" applyFont="1" applyFill="1" applyBorder="1" applyAlignment="1">
      <alignment horizontal="center" vertical="center" wrapText="1"/>
    </xf>
    <xf numFmtId="0" fontId="84" fillId="0" borderId="5" xfId="0" applyFont="1" applyBorder="1" applyAlignment="1">
      <alignment vertical="center" wrapText="1" shrinkToFit="1"/>
    </xf>
    <xf numFmtId="0" fontId="84" fillId="0" borderId="5" xfId="0" applyFont="1" applyBorder="1" applyAlignment="1">
      <alignment horizontal="center" vertical="center" wrapText="1" shrinkToFit="1"/>
    </xf>
    <xf numFmtId="0" fontId="85" fillId="0" borderId="5" xfId="0" applyFont="1" applyBorder="1" applyAlignment="1">
      <alignment horizontal="center" vertical="center"/>
    </xf>
    <xf numFmtId="0" fontId="86" fillId="0" borderId="5" xfId="0" applyFont="1" applyBorder="1" applyAlignment="1">
      <alignment horizontal="center" vertical="center"/>
    </xf>
    <xf numFmtId="0" fontId="84" fillId="0" borderId="5" xfId="0" applyFont="1" applyBorder="1" applyAlignment="1">
      <alignment horizontal="center" vertical="center"/>
    </xf>
    <xf numFmtId="0" fontId="87" fillId="0" borderId="5" xfId="0" applyFont="1" applyBorder="1" applyAlignment="1">
      <alignment horizontal="center" vertical="center" wrapText="1"/>
    </xf>
    <xf numFmtId="0" fontId="88" fillId="0" borderId="5" xfId="0" applyFont="1" applyBorder="1" applyAlignment="1">
      <alignment horizontal="center" vertical="center" wrapText="1"/>
    </xf>
    <xf numFmtId="9" fontId="88" fillId="0" borderId="5" xfId="0" applyNumberFormat="1" applyFont="1" applyBorder="1" applyAlignment="1">
      <alignment horizontal="center" vertical="center" wrapText="1"/>
    </xf>
    <xf numFmtId="0" fontId="89" fillId="12" borderId="40" xfId="0" applyFont="1" applyFill="1" applyBorder="1" applyAlignment="1">
      <alignment horizontal="center" wrapText="1"/>
    </xf>
    <xf numFmtId="0" fontId="84" fillId="5" borderId="172" xfId="0" applyFont="1" applyFill="1" applyBorder="1" applyAlignment="1">
      <alignment horizontal="left" vertical="center" wrapText="1"/>
    </xf>
    <xf numFmtId="0" fontId="86" fillId="0" borderId="1" xfId="0" applyFont="1" applyBorder="1" applyAlignment="1">
      <alignment horizontal="center" vertical="center"/>
    </xf>
    <xf numFmtId="0" fontId="86" fillId="0" borderId="1" xfId="0" applyFont="1" applyBorder="1" applyAlignment="1">
      <alignment horizontal="center" vertical="center" wrapText="1"/>
    </xf>
    <xf numFmtId="0" fontId="84" fillId="0" borderId="1" xfId="0" applyFont="1" applyBorder="1" applyAlignment="1">
      <alignment horizontal="center" vertical="center"/>
    </xf>
    <xf numFmtId="0" fontId="87" fillId="0" borderId="1" xfId="0" applyFont="1" applyBorder="1" applyAlignment="1">
      <alignment horizontal="center" vertical="center" wrapText="1"/>
    </xf>
    <xf numFmtId="0" fontId="88" fillId="0" borderId="1" xfId="0" applyFont="1" applyBorder="1" applyAlignment="1">
      <alignment horizontal="center" vertical="center" wrapText="1"/>
    </xf>
    <xf numFmtId="172" fontId="90" fillId="0" borderId="1" xfId="3" applyNumberFormat="1" applyFont="1" applyFill="1" applyBorder="1" applyAlignment="1">
      <alignment horizontal="center" vertical="center" wrapText="1"/>
    </xf>
    <xf numFmtId="0" fontId="89" fillId="10" borderId="92" xfId="0" applyFont="1" applyFill="1" applyBorder="1" applyAlignment="1">
      <alignment horizontal="center" wrapText="1"/>
    </xf>
    <xf numFmtId="0" fontId="84" fillId="5" borderId="175" xfId="0" applyFont="1" applyFill="1" applyBorder="1" applyAlignment="1">
      <alignment horizontal="left" vertical="center"/>
    </xf>
    <xf numFmtId="172" fontId="84" fillId="0" borderId="1" xfId="0" applyNumberFormat="1" applyFont="1" applyBorder="1" applyAlignment="1">
      <alignment horizontal="center" vertical="center"/>
    </xf>
    <xf numFmtId="172" fontId="90" fillId="0" borderId="1" xfId="0" applyNumberFormat="1" applyFont="1" applyBorder="1" applyAlignment="1">
      <alignment horizontal="center" vertical="center"/>
    </xf>
    <xf numFmtId="172" fontId="90" fillId="10" borderId="92" xfId="3" applyNumberFormat="1" applyFont="1" applyFill="1" applyBorder="1" applyAlignment="1">
      <alignment horizontal="center" vertical="center" wrapText="1"/>
    </xf>
    <xf numFmtId="0" fontId="84" fillId="0" borderId="1" xfId="0" applyFont="1" applyBorder="1" applyAlignment="1">
      <alignment horizontal="center" vertical="center" wrapText="1" shrinkToFit="1"/>
    </xf>
    <xf numFmtId="0" fontId="84" fillId="5" borderId="170" xfId="0" applyFont="1" applyFill="1" applyBorder="1" applyAlignment="1">
      <alignment horizontal="left" vertical="center" wrapText="1"/>
    </xf>
    <xf numFmtId="172" fontId="88" fillId="0" borderId="1" xfId="0" applyNumberFormat="1" applyFont="1" applyBorder="1" applyAlignment="1">
      <alignment horizontal="center" vertical="center" wrapText="1"/>
    </xf>
    <xf numFmtId="0" fontId="84" fillId="5" borderId="172" xfId="0" applyFont="1" applyFill="1" applyBorder="1" applyAlignment="1">
      <alignment vertical="center" wrapText="1" shrinkToFit="1"/>
    </xf>
    <xf numFmtId="0" fontId="85" fillId="0" borderId="8" xfId="0" applyFont="1" applyBorder="1" applyAlignment="1">
      <alignment horizontal="center" vertical="center"/>
    </xf>
    <xf numFmtId="0" fontId="90" fillId="0" borderId="1" xfId="0" applyFont="1" applyBorder="1" applyAlignment="1">
      <alignment horizontal="center" vertical="center"/>
    </xf>
    <xf numFmtId="0" fontId="90" fillId="0" borderId="1" xfId="0" applyFont="1" applyBorder="1" applyAlignment="1">
      <alignment horizontal="center"/>
    </xf>
    <xf numFmtId="0" fontId="88" fillId="12" borderId="92" xfId="0" applyFont="1" applyFill="1" applyBorder="1" applyAlignment="1">
      <alignment horizontal="center" wrapText="1"/>
    </xf>
    <xf numFmtId="0" fontId="84" fillId="5" borderId="175" xfId="0" applyFont="1" applyFill="1" applyBorder="1" applyAlignment="1">
      <alignment vertical="center"/>
    </xf>
    <xf numFmtId="0" fontId="68" fillId="10" borderId="92" xfId="0" applyFont="1" applyFill="1" applyBorder="1"/>
    <xf numFmtId="0" fontId="85" fillId="0" borderId="1" xfId="0" applyFont="1" applyBorder="1" applyAlignment="1">
      <alignment horizontal="center" vertical="center"/>
    </xf>
    <xf numFmtId="0" fontId="88" fillId="10" borderId="92" xfId="0" applyFont="1" applyFill="1" applyBorder="1" applyAlignment="1">
      <alignment horizontal="center" wrapText="1"/>
    </xf>
    <xf numFmtId="0" fontId="90" fillId="5" borderId="1" xfId="0" applyFont="1" applyFill="1" applyBorder="1" applyAlignment="1">
      <alignment vertical="center" wrapText="1"/>
    </xf>
    <xf numFmtId="172" fontId="90" fillId="0" borderId="1" xfId="0" applyNumberFormat="1" applyFont="1" applyBorder="1" applyAlignment="1">
      <alignment horizontal="center" vertical="center" wrapText="1"/>
    </xf>
    <xf numFmtId="0" fontId="88" fillId="13" borderId="92" xfId="0" applyFont="1" applyFill="1" applyBorder="1" applyAlignment="1">
      <alignment horizontal="center" wrapText="1"/>
    </xf>
    <xf numFmtId="0" fontId="90" fillId="5" borderId="1" xfId="0" applyFont="1" applyFill="1" applyBorder="1" applyAlignment="1">
      <alignment horizontal="left" vertical="center" wrapText="1"/>
    </xf>
    <xf numFmtId="174" fontId="90" fillId="0" borderId="1" xfId="3" applyNumberFormat="1" applyFont="1" applyFill="1" applyBorder="1" applyAlignment="1">
      <alignment horizontal="center" vertical="center" wrapText="1"/>
    </xf>
    <xf numFmtId="0" fontId="88" fillId="10" borderId="92" xfId="0" applyFont="1" applyFill="1" applyBorder="1" applyAlignment="1">
      <alignment horizontal="center" vertical="center" wrapText="1"/>
    </xf>
    <xf numFmtId="0" fontId="84" fillId="0" borderId="1" xfId="0" applyFont="1" applyBorder="1" applyAlignment="1">
      <alignment vertical="center" wrapText="1" shrinkToFit="1"/>
    </xf>
    <xf numFmtId="9" fontId="88" fillId="0" borderId="1" xfId="0" applyNumberFormat="1" applyFont="1" applyBorder="1" applyAlignment="1">
      <alignment horizontal="center" vertical="center" wrapText="1"/>
    </xf>
    <xf numFmtId="0" fontId="84" fillId="15" borderId="1" xfId="0" applyFont="1" applyFill="1" applyBorder="1" applyAlignment="1">
      <alignment horizontal="center" vertical="center" wrapText="1" shrinkToFit="1"/>
    </xf>
    <xf numFmtId="0" fontId="85" fillId="15" borderId="1" xfId="0" applyFont="1" applyFill="1" applyBorder="1" applyAlignment="1">
      <alignment horizontal="center" vertical="center"/>
    </xf>
    <xf numFmtId="0" fontId="86" fillId="15" borderId="1" xfId="0" applyFont="1" applyFill="1" applyBorder="1" applyAlignment="1">
      <alignment horizontal="center" vertical="center" wrapText="1"/>
    </xf>
    <xf numFmtId="0" fontId="90" fillId="15" borderId="1" xfId="0" applyFont="1" applyFill="1" applyBorder="1" applyAlignment="1">
      <alignment horizontal="center" vertical="center"/>
    </xf>
    <xf numFmtId="0" fontId="87" fillId="15" borderId="1" xfId="0" applyFont="1" applyFill="1" applyBorder="1" applyAlignment="1">
      <alignment horizontal="center" vertical="center" wrapText="1"/>
    </xf>
    <xf numFmtId="0" fontId="84" fillId="5" borderId="170" xfId="0" applyFont="1" applyFill="1" applyBorder="1" applyAlignment="1">
      <alignment vertical="center" wrapText="1" shrinkToFit="1"/>
    </xf>
    <xf numFmtId="0" fontId="84" fillId="5" borderId="1" xfId="0" applyFont="1" applyFill="1" applyBorder="1" applyAlignment="1">
      <alignment horizontal="left" vertical="center" wrapText="1"/>
    </xf>
    <xf numFmtId="3" fontId="90" fillId="15" borderId="1" xfId="2" applyNumberFormat="1" applyFont="1" applyFill="1" applyBorder="1" applyAlignment="1">
      <alignment horizontal="center" vertical="center" wrapText="1"/>
    </xf>
    <xf numFmtId="3" fontId="90" fillId="0" borderId="1" xfId="2" applyNumberFormat="1" applyFont="1" applyFill="1" applyBorder="1" applyAlignment="1">
      <alignment horizontal="center" vertical="center" wrapText="1"/>
    </xf>
    <xf numFmtId="0" fontId="90" fillId="10" borderId="92" xfId="0" applyFont="1" applyFill="1" applyBorder="1" applyAlignment="1">
      <alignment horizontal="center"/>
    </xf>
    <xf numFmtId="0" fontId="92" fillId="16" borderId="92" xfId="0" applyFont="1" applyFill="1" applyBorder="1" applyAlignment="1">
      <alignment horizontal="center"/>
    </xf>
    <xf numFmtId="1" fontId="90" fillId="0" borderId="1" xfId="2" applyNumberFormat="1" applyFont="1" applyFill="1" applyBorder="1" applyAlignment="1">
      <alignment horizontal="center" vertical="center" wrapText="1"/>
    </xf>
    <xf numFmtId="172" fontId="90" fillId="0" borderId="1" xfId="2" applyNumberFormat="1" applyFont="1" applyFill="1" applyBorder="1" applyAlignment="1">
      <alignment horizontal="center" vertical="center" wrapText="1"/>
    </xf>
    <xf numFmtId="0" fontId="92" fillId="10" borderId="92" xfId="0" applyFont="1" applyFill="1" applyBorder="1" applyAlignment="1">
      <alignment horizontal="center"/>
    </xf>
    <xf numFmtId="3" fontId="90" fillId="0" borderId="1" xfId="0" applyNumberFormat="1" applyFont="1" applyBorder="1" applyAlignment="1">
      <alignment horizontal="center" vertical="center"/>
    </xf>
    <xf numFmtId="172" fontId="93" fillId="10" borderId="92" xfId="3" applyNumberFormat="1" applyFont="1" applyFill="1" applyBorder="1" applyAlignment="1">
      <alignment horizontal="center" vertical="center" wrapText="1"/>
    </xf>
    <xf numFmtId="1" fontId="90" fillId="0" borderId="1" xfId="0" applyNumberFormat="1" applyFont="1" applyBorder="1" applyAlignment="1">
      <alignment horizontal="center" vertical="center"/>
    </xf>
    <xf numFmtId="1" fontId="90" fillId="0" borderId="1" xfId="3" applyNumberFormat="1" applyFont="1" applyFill="1" applyBorder="1" applyAlignment="1">
      <alignment horizontal="center" vertical="center" wrapText="1"/>
    </xf>
    <xf numFmtId="172" fontId="93" fillId="13" borderId="92" xfId="3" applyNumberFormat="1" applyFont="1" applyFill="1" applyBorder="1" applyAlignment="1">
      <alignment horizontal="center" vertical="center" wrapText="1"/>
    </xf>
    <xf numFmtId="0" fontId="84" fillId="5" borderId="173" xfId="0" applyFont="1" applyFill="1" applyBorder="1" applyAlignment="1">
      <alignment horizontal="left" vertical="center" wrapText="1"/>
    </xf>
    <xf numFmtId="0" fontId="85" fillId="0" borderId="28" xfId="0" applyFont="1" applyBorder="1" applyAlignment="1">
      <alignment horizontal="center" vertical="center"/>
    </xf>
    <xf numFmtId="0" fontId="84" fillId="0" borderId="34" xfId="0" applyFont="1" applyBorder="1" applyAlignment="1">
      <alignment vertical="center" wrapText="1" shrinkToFit="1"/>
    </xf>
    <xf numFmtId="0" fontId="84" fillId="0" borderId="34" xfId="0" applyFont="1" applyBorder="1" applyAlignment="1">
      <alignment horizontal="center" vertical="center" wrapText="1" shrinkToFit="1"/>
    </xf>
    <xf numFmtId="0" fontId="85" fillId="0" borderId="34" xfId="0" applyFont="1" applyBorder="1" applyAlignment="1">
      <alignment horizontal="center" vertical="center"/>
    </xf>
    <xf numFmtId="0" fontId="86" fillId="0" borderId="34" xfId="0" applyFont="1" applyBorder="1" applyAlignment="1">
      <alignment horizontal="center" vertical="center"/>
    </xf>
    <xf numFmtId="0" fontId="90" fillId="0" borderId="34" xfId="0" applyFont="1" applyBorder="1" applyAlignment="1">
      <alignment horizontal="center" vertical="center"/>
    </xf>
    <xf numFmtId="0" fontId="88" fillId="0" borderId="34" xfId="0" applyFont="1" applyBorder="1" applyAlignment="1">
      <alignment horizontal="center" vertical="center" wrapText="1"/>
    </xf>
    <xf numFmtId="0" fontId="88" fillId="12" borderId="35" xfId="0" applyFont="1" applyFill="1" applyBorder="1" applyAlignment="1">
      <alignment horizontal="center" wrapText="1"/>
    </xf>
    <xf numFmtId="0" fontId="84" fillId="5" borderId="28" xfId="0" applyFont="1" applyFill="1" applyBorder="1" applyAlignment="1">
      <alignment horizontal="left" vertical="center" wrapText="1"/>
    </xf>
    <xf numFmtId="172" fontId="90" fillId="3" borderId="1" xfId="3" applyNumberFormat="1" applyFont="1" applyFill="1" applyBorder="1" applyAlignment="1">
      <alignment horizontal="center" vertical="center" wrapText="1"/>
    </xf>
    <xf numFmtId="172" fontId="90" fillId="13" borderId="92" xfId="3" applyNumberFormat="1" applyFont="1" applyFill="1" applyBorder="1" applyAlignment="1">
      <alignment horizontal="center" vertical="center" wrapText="1"/>
    </xf>
    <xf numFmtId="0" fontId="84" fillId="0" borderId="1" xfId="0" applyFont="1" applyBorder="1" applyAlignment="1">
      <alignment horizontal="left" vertical="center" wrapText="1"/>
    </xf>
    <xf numFmtId="3" fontId="90" fillId="8" borderId="1" xfId="0" applyNumberFormat="1" applyFont="1" applyFill="1" applyBorder="1" applyAlignment="1">
      <alignment horizontal="center" vertical="center"/>
    </xf>
    <xf numFmtId="172" fontId="90" fillId="8" borderId="1" xfId="3" applyNumberFormat="1" applyFont="1" applyFill="1" applyBorder="1" applyAlignment="1">
      <alignment horizontal="center" vertical="center" wrapText="1"/>
    </xf>
    <xf numFmtId="172" fontId="90" fillId="8" borderId="92" xfId="3" applyNumberFormat="1" applyFont="1" applyFill="1" applyBorder="1" applyAlignment="1">
      <alignment horizontal="center" vertical="center" wrapText="1"/>
    </xf>
    <xf numFmtId="0" fontId="84" fillId="0" borderId="1" xfId="0" applyFont="1" applyBorder="1" applyAlignment="1">
      <alignment horizontal="center" vertical="center" wrapText="1"/>
    </xf>
    <xf numFmtId="170" fontId="90" fillId="0" borderId="1" xfId="0" applyNumberFormat="1" applyFont="1" applyBorder="1" applyAlignment="1">
      <alignment horizontal="center" vertical="center"/>
    </xf>
    <xf numFmtId="170" fontId="90" fillId="3" borderId="1" xfId="0" applyNumberFormat="1" applyFont="1" applyFill="1" applyBorder="1" applyAlignment="1">
      <alignment horizontal="center" vertical="center"/>
    </xf>
    <xf numFmtId="172" fontId="90" fillId="8" borderId="1" xfId="0" applyNumberFormat="1" applyFont="1" applyFill="1" applyBorder="1" applyAlignment="1">
      <alignment horizontal="center" vertical="center" wrapText="1"/>
    </xf>
    <xf numFmtId="0" fontId="88" fillId="8" borderId="1" xfId="0" applyFont="1" applyFill="1" applyBorder="1" applyAlignment="1">
      <alignment horizontal="center" vertical="center" wrapText="1"/>
    </xf>
    <xf numFmtId="0" fontId="88" fillId="8" borderId="92" xfId="0" applyFont="1" applyFill="1" applyBorder="1" applyAlignment="1">
      <alignment horizontal="center" wrapText="1"/>
    </xf>
    <xf numFmtId="0" fontId="95" fillId="5" borderId="176" xfId="0" applyFont="1" applyFill="1" applyBorder="1" applyAlignment="1">
      <alignment vertical="center" wrapText="1"/>
    </xf>
    <xf numFmtId="0" fontId="95" fillId="3" borderId="28" xfId="0" applyFont="1" applyFill="1" applyBorder="1" applyAlignment="1">
      <alignment horizontal="center" vertical="center" wrapText="1"/>
    </xf>
    <xf numFmtId="0" fontId="95" fillId="5" borderId="176" xfId="0" applyFont="1" applyFill="1" applyBorder="1" applyAlignment="1">
      <alignment horizontal="left" vertical="center" wrapText="1"/>
    </xf>
    <xf numFmtId="0" fontId="96" fillId="3" borderId="28" xfId="0" applyFont="1" applyFill="1" applyBorder="1" applyAlignment="1">
      <alignment horizontal="center" vertical="center" wrapText="1"/>
    </xf>
    <xf numFmtId="0" fontId="96" fillId="3" borderId="1" xfId="0" applyFont="1" applyFill="1" applyBorder="1" applyAlignment="1">
      <alignment horizontal="center" vertical="center" wrapText="1"/>
    </xf>
    <xf numFmtId="172" fontId="95" fillId="0" borderId="28" xfId="0" applyNumberFormat="1" applyFont="1" applyBorder="1" applyAlignment="1">
      <alignment horizontal="center" vertical="center" wrapText="1"/>
    </xf>
    <xf numFmtId="0" fontId="95" fillId="5" borderId="175" xfId="0" applyFont="1" applyFill="1" applyBorder="1" applyAlignment="1">
      <alignment vertical="center" wrapText="1"/>
    </xf>
    <xf numFmtId="0" fontId="95" fillId="3" borderId="1" xfId="0" applyFont="1" applyFill="1" applyBorder="1" applyAlignment="1">
      <alignment horizontal="center" vertical="center" wrapText="1"/>
    </xf>
    <xf numFmtId="0" fontId="95" fillId="5" borderId="172" xfId="0" applyFont="1" applyFill="1" applyBorder="1" applyAlignment="1">
      <alignment horizontal="left" vertical="center" wrapText="1"/>
    </xf>
    <xf numFmtId="172" fontId="95" fillId="3" borderId="1" xfId="3" applyNumberFormat="1" applyFont="1" applyFill="1" applyBorder="1" applyAlignment="1">
      <alignment horizontal="center" vertical="center"/>
    </xf>
    <xf numFmtId="172" fontId="95" fillId="3" borderId="1" xfId="3" applyNumberFormat="1" applyFont="1" applyFill="1" applyBorder="1" applyAlignment="1">
      <alignment horizontal="center" vertical="center" wrapText="1"/>
    </xf>
    <xf numFmtId="172" fontId="95" fillId="0" borderId="1" xfId="3" applyNumberFormat="1" applyFont="1" applyFill="1" applyBorder="1" applyAlignment="1">
      <alignment horizontal="center" vertical="center" wrapText="1"/>
    </xf>
    <xf numFmtId="0" fontId="97" fillId="13" borderId="92" xfId="0" applyFont="1" applyFill="1" applyBorder="1" applyAlignment="1">
      <alignment horizontal="center" wrapText="1"/>
    </xf>
    <xf numFmtId="0" fontId="95" fillId="3" borderId="1" xfId="0" applyFont="1" applyFill="1" applyBorder="1" applyAlignment="1">
      <alignment vertical="center" wrapText="1"/>
    </xf>
    <xf numFmtId="0" fontId="95" fillId="5" borderId="175" xfId="0" applyFont="1" applyFill="1" applyBorder="1" applyAlignment="1">
      <alignment horizontal="left" vertical="center" wrapText="1"/>
    </xf>
    <xf numFmtId="1" fontId="95" fillId="3" borderId="1" xfId="3" applyNumberFormat="1" applyFont="1" applyFill="1" applyBorder="1" applyAlignment="1">
      <alignment horizontal="center" vertical="center"/>
    </xf>
    <xf numFmtId="3" fontId="95" fillId="0" borderId="1" xfId="3" applyNumberFormat="1" applyFont="1" applyFill="1" applyBorder="1" applyAlignment="1">
      <alignment horizontal="center" vertical="center"/>
    </xf>
    <xf numFmtId="0" fontId="97" fillId="10" borderId="92" xfId="0" applyFont="1" applyFill="1" applyBorder="1" applyAlignment="1">
      <alignment horizontal="center" wrapText="1"/>
    </xf>
    <xf numFmtId="0" fontId="95" fillId="0" borderId="1" xfId="0" applyFont="1" applyBorder="1" applyAlignment="1">
      <alignment horizontal="center" vertical="center" wrapText="1"/>
    </xf>
    <xf numFmtId="0" fontId="96" fillId="0" borderId="1" xfId="0" applyFont="1" applyBorder="1" applyAlignment="1">
      <alignment horizontal="center" vertical="center" wrapText="1"/>
    </xf>
    <xf numFmtId="1" fontId="95" fillId="0" borderId="1" xfId="3" applyNumberFormat="1" applyFont="1" applyFill="1" applyBorder="1" applyAlignment="1">
      <alignment horizontal="center" vertical="center"/>
    </xf>
    <xf numFmtId="180" fontId="99" fillId="0" borderId="1" xfId="0" applyNumberFormat="1" applyFont="1" applyBorder="1" applyAlignment="1">
      <alignment horizontal="center" vertical="center"/>
    </xf>
    <xf numFmtId="180" fontId="100" fillId="0" borderId="1" xfId="0" applyNumberFormat="1" applyFont="1" applyBorder="1" applyAlignment="1">
      <alignment horizontal="center" vertical="center"/>
    </xf>
    <xf numFmtId="180" fontId="100" fillId="3" borderId="1" xfId="0" applyNumberFormat="1" applyFont="1" applyFill="1" applyBorder="1" applyAlignment="1">
      <alignment horizontal="center" vertical="center"/>
    </xf>
    <xf numFmtId="3" fontId="100" fillId="0" borderId="1" xfId="0" applyNumberFormat="1" applyFont="1" applyBorder="1" applyAlignment="1">
      <alignment horizontal="center" vertical="center"/>
    </xf>
    <xf numFmtId="3" fontId="100" fillId="3" borderId="1" xfId="0" applyNumberFormat="1" applyFont="1" applyFill="1" applyBorder="1" applyAlignment="1">
      <alignment horizontal="center" vertical="center"/>
    </xf>
    <xf numFmtId="0" fontId="101" fillId="3" borderId="1" xfId="0" applyFont="1" applyFill="1" applyBorder="1" applyAlignment="1">
      <alignment horizontal="center" vertical="center" wrapText="1"/>
    </xf>
    <xf numFmtId="0" fontId="102" fillId="0" borderId="1" xfId="0" applyFont="1" applyBorder="1" applyAlignment="1">
      <alignment horizontal="center" vertical="center" wrapText="1"/>
    </xf>
    <xf numFmtId="172" fontId="102" fillId="0" borderId="1" xfId="0" applyNumberFormat="1" applyFont="1" applyBorder="1" applyAlignment="1">
      <alignment horizontal="center" vertical="center" wrapText="1"/>
    </xf>
    <xf numFmtId="0" fontId="102" fillId="10" borderId="92" xfId="0" applyFont="1" applyFill="1" applyBorder="1" applyAlignment="1">
      <alignment horizontal="center" wrapText="1"/>
    </xf>
    <xf numFmtId="0" fontId="102" fillId="12" borderId="92" xfId="0" applyFont="1" applyFill="1" applyBorder="1" applyAlignment="1">
      <alignment horizontal="center" wrapText="1"/>
    </xf>
    <xf numFmtId="0" fontId="101" fillId="0" borderId="1" xfId="0" applyFont="1" applyBorder="1" applyAlignment="1">
      <alignment horizontal="center" vertical="center" wrapText="1"/>
    </xf>
    <xf numFmtId="0" fontId="102" fillId="15" borderId="1" xfId="0" applyFont="1" applyFill="1" applyBorder="1" applyAlignment="1">
      <alignment horizontal="center" vertical="center" wrapText="1"/>
    </xf>
    <xf numFmtId="0" fontId="95" fillId="0" borderId="1" xfId="0" applyFont="1" applyBorder="1" applyAlignment="1">
      <alignment horizontal="left" vertical="center"/>
    </xf>
    <xf numFmtId="1" fontId="95" fillId="0" borderId="1" xfId="0" applyNumberFormat="1" applyFont="1" applyBorder="1" applyAlignment="1">
      <alignment horizontal="center" vertical="center"/>
    </xf>
    <xf numFmtId="1" fontId="95" fillId="3" borderId="1" xfId="0" applyNumberFormat="1" applyFont="1" applyFill="1" applyBorder="1" applyAlignment="1">
      <alignment horizontal="center" vertical="center"/>
    </xf>
    <xf numFmtId="172" fontId="100" fillId="13" borderId="92" xfId="3" applyNumberFormat="1" applyFont="1" applyFill="1" applyBorder="1" applyAlignment="1">
      <alignment horizontal="center" vertical="center" wrapText="1"/>
    </xf>
    <xf numFmtId="0" fontId="103" fillId="0" borderId="1" xfId="0" applyFont="1" applyBorder="1" applyAlignment="1">
      <alignment horizontal="center" vertical="center" wrapText="1"/>
    </xf>
    <xf numFmtId="0" fontId="95" fillId="5" borderId="170" xfId="0" applyFont="1" applyFill="1" applyBorder="1" applyAlignment="1">
      <alignment horizontal="left" vertical="center" wrapText="1"/>
    </xf>
    <xf numFmtId="172" fontId="100" fillId="0" borderId="1" xfId="3" applyNumberFormat="1" applyFont="1" applyFill="1" applyBorder="1" applyAlignment="1">
      <alignment horizontal="center" vertical="center" wrapText="1"/>
    </xf>
    <xf numFmtId="0" fontId="100" fillId="0" borderId="1" xfId="2" applyNumberFormat="1" applyFont="1" applyFill="1" applyBorder="1" applyAlignment="1">
      <alignment horizontal="center" vertical="center" wrapText="1"/>
    </xf>
    <xf numFmtId="172" fontId="100" fillId="10" borderId="92" xfId="3" applyNumberFormat="1" applyFont="1" applyFill="1" applyBorder="1" applyAlignment="1">
      <alignment horizontal="center" vertical="center" wrapText="1"/>
    </xf>
    <xf numFmtId="3" fontId="100" fillId="0" borderId="1" xfId="2" applyNumberFormat="1" applyFont="1" applyFill="1" applyBorder="1" applyAlignment="1">
      <alignment horizontal="center" vertical="center" wrapText="1"/>
    </xf>
    <xf numFmtId="3" fontId="100" fillId="0" borderId="1" xfId="2" quotePrefix="1" applyNumberFormat="1" applyFont="1" applyFill="1" applyBorder="1" applyAlignment="1">
      <alignment horizontal="center" vertical="center" wrapText="1"/>
    </xf>
    <xf numFmtId="0" fontId="95" fillId="5" borderId="1" xfId="0" applyFont="1" applyFill="1" applyBorder="1" applyAlignment="1">
      <alignment horizontal="left" vertical="center" wrapText="1"/>
    </xf>
    <xf numFmtId="3" fontId="102" fillId="0" borderId="1" xfId="0" applyNumberFormat="1" applyFont="1" applyBorder="1" applyAlignment="1">
      <alignment horizontal="center" vertical="center" wrapText="1"/>
    </xf>
    <xf numFmtId="0" fontId="95" fillId="0" borderId="1" xfId="0" applyFont="1" applyBorder="1" applyAlignment="1">
      <alignment horizontal="left" vertical="center" wrapText="1"/>
    </xf>
    <xf numFmtId="2" fontId="100" fillId="0" borderId="1" xfId="2" applyNumberFormat="1" applyFont="1" applyFill="1" applyBorder="1" applyAlignment="1">
      <alignment horizontal="center" vertical="center" wrapText="1"/>
    </xf>
    <xf numFmtId="170" fontId="100" fillId="0" borderId="1" xfId="2" applyNumberFormat="1" applyFont="1" applyFill="1" applyBorder="1" applyAlignment="1">
      <alignment horizontal="center" vertical="center" wrapText="1"/>
    </xf>
    <xf numFmtId="0" fontId="102" fillId="13" borderId="92" xfId="0" applyFont="1" applyFill="1" applyBorder="1" applyAlignment="1">
      <alignment horizontal="center" wrapText="1"/>
    </xf>
    <xf numFmtId="174" fontId="102" fillId="0" borderId="1" xfId="0" applyNumberFormat="1" applyFont="1" applyBorder="1" applyAlignment="1">
      <alignment horizontal="center" vertical="center" wrapText="1"/>
    </xf>
    <xf numFmtId="0" fontId="95" fillId="3" borderId="34" xfId="0" applyFont="1" applyFill="1" applyBorder="1" applyAlignment="1">
      <alignment vertical="center" wrapText="1"/>
    </xf>
    <xf numFmtId="0" fontId="95" fillId="0" borderId="34" xfId="0" applyFont="1" applyBorder="1" applyAlignment="1">
      <alignment horizontal="center" vertical="center" wrapText="1"/>
    </xf>
    <xf numFmtId="0" fontId="101" fillId="0" borderId="34" xfId="0" applyFont="1" applyBorder="1" applyAlignment="1">
      <alignment horizontal="center" vertical="center" wrapText="1"/>
    </xf>
    <xf numFmtId="0" fontId="96" fillId="0" borderId="34" xfId="0" applyFont="1" applyBorder="1" applyAlignment="1">
      <alignment horizontal="center" vertical="center" wrapText="1"/>
    </xf>
    <xf numFmtId="1" fontId="95" fillId="0" borderId="34" xfId="3" applyNumberFormat="1" applyFont="1" applyFill="1" applyBorder="1" applyAlignment="1">
      <alignment horizontal="center" vertical="center"/>
    </xf>
    <xf numFmtId="180" fontId="100" fillId="0" borderId="34" xfId="0" applyNumberFormat="1" applyFont="1" applyBorder="1" applyAlignment="1">
      <alignment horizontal="center" vertical="center"/>
    </xf>
    <xf numFmtId="0" fontId="102" fillId="0" borderId="34" xfId="0" applyFont="1" applyBorder="1" applyAlignment="1">
      <alignment horizontal="center" vertical="center" wrapText="1"/>
    </xf>
    <xf numFmtId="0" fontId="102" fillId="12" borderId="35" xfId="0" applyFont="1" applyFill="1" applyBorder="1" applyAlignment="1">
      <alignment horizontal="center" wrapText="1"/>
    </xf>
    <xf numFmtId="0" fontId="104" fillId="0" borderId="0" xfId="0" applyFont="1" applyAlignment="1">
      <alignment horizontal="center" vertical="center"/>
    </xf>
    <xf numFmtId="0" fontId="68" fillId="0" borderId="0" xfId="0" applyFont="1" applyAlignment="1">
      <alignment vertical="center"/>
    </xf>
    <xf numFmtId="0" fontId="68" fillId="0" borderId="0" xfId="0" applyFont="1" applyAlignment="1">
      <alignment horizontal="center" vertical="center"/>
    </xf>
    <xf numFmtId="0" fontId="68" fillId="0" borderId="0" xfId="0" applyFont="1" applyAlignment="1">
      <alignment wrapText="1"/>
    </xf>
    <xf numFmtId="0" fontId="104" fillId="0" borderId="0" xfId="0" applyFont="1" applyAlignment="1">
      <alignment horizontal="center" vertical="center" wrapText="1"/>
    </xf>
    <xf numFmtId="0" fontId="105" fillId="0" borderId="0" xfId="0" applyFont="1" applyAlignment="1">
      <alignment vertical="center"/>
    </xf>
    <xf numFmtId="0" fontId="106" fillId="0" borderId="0" xfId="0" applyFont="1" applyAlignment="1">
      <alignment horizontal="center" vertical="center"/>
    </xf>
    <xf numFmtId="0" fontId="107" fillId="0" borderId="1" xfId="0" applyFont="1" applyBorder="1" applyAlignment="1">
      <alignment horizontal="left" vertical="center"/>
    </xf>
    <xf numFmtId="0" fontId="107" fillId="0" borderId="1" xfId="0" applyFont="1" applyBorder="1" applyAlignment="1">
      <alignment horizontal="center" vertical="center"/>
    </xf>
    <xf numFmtId="3" fontId="108" fillId="0" borderId="1" xfId="0" applyNumberFormat="1" applyFont="1" applyBorder="1" applyAlignment="1">
      <alignment horizontal="center" vertical="center"/>
    </xf>
    <xf numFmtId="3" fontId="107" fillId="0" borderId="1" xfId="0" applyNumberFormat="1" applyFont="1" applyBorder="1"/>
    <xf numFmtId="172" fontId="107" fillId="0" borderId="1" xfId="3" applyNumberFormat="1" applyFont="1" applyFill="1" applyBorder="1" applyAlignment="1">
      <alignment horizontal="center" vertical="center" wrapText="1"/>
    </xf>
    <xf numFmtId="3" fontId="109" fillId="3" borderId="1" xfId="0" applyNumberFormat="1" applyFont="1" applyFill="1" applyBorder="1" applyAlignment="1">
      <alignment horizontal="left" vertical="center" wrapText="1"/>
    </xf>
    <xf numFmtId="3" fontId="110" fillId="0" borderId="1" xfId="0" applyNumberFormat="1" applyFont="1" applyBorder="1" applyAlignment="1">
      <alignment horizontal="center" vertical="center"/>
    </xf>
    <xf numFmtId="3" fontId="111" fillId="0" borderId="1" xfId="0" applyNumberFormat="1" applyFont="1" applyBorder="1" applyAlignment="1">
      <alignment horizontal="center" vertical="center"/>
    </xf>
    <xf numFmtId="3" fontId="110" fillId="0" borderId="1" xfId="0" applyNumberFormat="1" applyFont="1" applyBorder="1"/>
    <xf numFmtId="172" fontId="112" fillId="0" borderId="1" xfId="3" applyNumberFormat="1" applyFont="1" applyFill="1" applyBorder="1" applyAlignment="1">
      <alignment horizontal="center" vertical="center" wrapText="1"/>
    </xf>
    <xf numFmtId="172" fontId="68" fillId="0" borderId="0" xfId="0" applyNumberFormat="1" applyFont="1"/>
    <xf numFmtId="9" fontId="80" fillId="0" borderId="1" xfId="0" applyNumberFormat="1" applyFont="1" applyBorder="1" applyAlignment="1">
      <alignment horizontal="center" vertical="center"/>
    </xf>
    <xf numFmtId="174" fontId="75" fillId="0" borderId="1" xfId="0" applyNumberFormat="1" applyFont="1" applyBorder="1" applyAlignment="1">
      <alignment horizontal="center" vertical="center" wrapText="1"/>
    </xf>
    <xf numFmtId="174" fontId="78" fillId="0" borderId="1" xfId="0" applyNumberFormat="1" applyFont="1" applyBorder="1" applyAlignment="1">
      <alignment horizontal="center" vertical="center" wrapText="1"/>
    </xf>
    <xf numFmtId="9" fontId="84" fillId="0" borderId="1" xfId="0" applyNumberFormat="1" applyFont="1" applyBorder="1" applyAlignment="1">
      <alignment horizontal="center" vertical="center"/>
    </xf>
    <xf numFmtId="9" fontId="90" fillId="0" borderId="1" xfId="0" applyNumberFormat="1" applyFont="1" applyBorder="1" applyAlignment="1">
      <alignment horizontal="center" vertical="center"/>
    </xf>
    <xf numFmtId="170" fontId="90" fillId="0" borderId="1" xfId="3" applyNumberFormat="1" applyFont="1" applyFill="1" applyBorder="1" applyAlignment="1">
      <alignment horizontal="center" vertical="center" wrapText="1"/>
    </xf>
    <xf numFmtId="9" fontId="90" fillId="0" borderId="1" xfId="3" applyFont="1" applyFill="1" applyBorder="1" applyAlignment="1">
      <alignment horizontal="center" vertical="center" wrapText="1"/>
    </xf>
    <xf numFmtId="9" fontId="90" fillId="3" borderId="1" xfId="3" applyFont="1" applyFill="1" applyBorder="1" applyAlignment="1">
      <alignment horizontal="center" vertical="center" wrapText="1"/>
    </xf>
    <xf numFmtId="10" fontId="90" fillId="0" borderId="1" xfId="3" applyNumberFormat="1" applyFont="1" applyFill="1" applyBorder="1" applyAlignment="1">
      <alignment horizontal="center" vertical="center" wrapText="1"/>
    </xf>
    <xf numFmtId="10" fontId="90" fillId="3" borderId="1" xfId="3" applyNumberFormat="1" applyFont="1" applyFill="1" applyBorder="1" applyAlignment="1">
      <alignment horizontal="center" vertical="center" wrapText="1"/>
    </xf>
    <xf numFmtId="9" fontId="90" fillId="3" borderId="1" xfId="0" applyNumberFormat="1" applyFont="1" applyFill="1" applyBorder="1" applyAlignment="1">
      <alignment horizontal="center" vertical="center"/>
    </xf>
    <xf numFmtId="9" fontId="95" fillId="3" borderId="1" xfId="3" applyFont="1" applyFill="1" applyBorder="1" applyAlignment="1">
      <alignment horizontal="center" vertical="center"/>
    </xf>
    <xf numFmtId="9" fontId="95" fillId="3" borderId="1" xfId="3" applyFont="1" applyFill="1" applyBorder="1" applyAlignment="1">
      <alignment horizontal="center" vertical="center" wrapText="1"/>
    </xf>
    <xf numFmtId="171" fontId="113" fillId="0" borderId="1" xfId="3" applyNumberFormat="1" applyFont="1" applyFill="1" applyBorder="1" applyAlignment="1">
      <alignment horizontal="center" vertical="center"/>
    </xf>
    <xf numFmtId="171" fontId="114" fillId="0" borderId="1" xfId="0" applyNumberFormat="1" applyFont="1" applyBorder="1" applyAlignment="1">
      <alignment horizontal="center" vertical="center"/>
    </xf>
    <xf numFmtId="181" fontId="100" fillId="0" borderId="1" xfId="0" applyNumberFormat="1" applyFont="1" applyBorder="1" applyAlignment="1">
      <alignment horizontal="center" vertical="center"/>
    </xf>
    <xf numFmtId="181" fontId="100" fillId="3" borderId="1" xfId="0" applyNumberFormat="1" applyFont="1" applyFill="1" applyBorder="1" applyAlignment="1">
      <alignment horizontal="center" vertical="center"/>
    </xf>
    <xf numFmtId="10" fontId="95" fillId="0" borderId="1" xfId="3" applyNumberFormat="1" applyFont="1" applyFill="1" applyBorder="1" applyAlignment="1">
      <alignment horizontal="center" vertical="center" wrapText="1"/>
    </xf>
    <xf numFmtId="1" fontId="100" fillId="0" borderId="1" xfId="2" applyNumberFormat="1" applyFont="1" applyFill="1" applyBorder="1" applyAlignment="1">
      <alignment horizontal="center" vertical="center" wrapText="1"/>
    </xf>
    <xf numFmtId="170" fontId="102" fillId="0" borderId="1" xfId="0" applyNumberFormat="1" applyFont="1" applyBorder="1" applyAlignment="1">
      <alignment horizontal="center" vertical="center" wrapText="1"/>
    </xf>
    <xf numFmtId="0" fontId="115" fillId="0" borderId="0" xfId="0" applyFont="1" applyAlignment="1">
      <alignment vertical="center"/>
    </xf>
    <xf numFmtId="0" fontId="116" fillId="0" borderId="0" xfId="0" applyFont="1" applyAlignment="1">
      <alignment horizontal="center" vertical="center"/>
    </xf>
    <xf numFmtId="4" fontId="80" fillId="3" borderId="1" xfId="0" applyNumberFormat="1" applyFont="1" applyFill="1" applyBorder="1" applyAlignment="1">
      <alignment horizontal="center" vertical="center"/>
    </xf>
    <xf numFmtId="10" fontId="90" fillId="0" borderId="1" xfId="0" applyNumberFormat="1" applyFont="1" applyBorder="1" applyAlignment="1">
      <alignment horizontal="center" vertical="center"/>
    </xf>
    <xf numFmtId="10" fontId="90" fillId="3" borderId="1" xfId="0" applyNumberFormat="1" applyFont="1" applyFill="1" applyBorder="1" applyAlignment="1">
      <alignment horizontal="center" vertical="center"/>
    </xf>
    <xf numFmtId="10" fontId="100" fillId="0" borderId="1" xfId="3" applyNumberFormat="1" applyFont="1" applyFill="1" applyBorder="1" applyAlignment="1">
      <alignment horizontal="center" vertical="center" wrapText="1"/>
    </xf>
    <xf numFmtId="2" fontId="102" fillId="0" borderId="1" xfId="0" applyNumberFormat="1" applyFont="1" applyBorder="1" applyAlignment="1">
      <alignment horizontal="center" vertical="center" wrapText="1"/>
    </xf>
    <xf numFmtId="174" fontId="82" fillId="0" borderId="1" xfId="2" applyNumberFormat="1" applyFont="1" applyFill="1" applyBorder="1" applyAlignment="1">
      <alignment horizontal="center" vertical="center" wrapText="1"/>
    </xf>
    <xf numFmtId="174" fontId="90" fillId="13" borderId="1" xfId="3" applyNumberFormat="1" applyFont="1" applyFill="1" applyBorder="1" applyAlignment="1">
      <alignment horizontal="center" vertical="center" wrapText="1"/>
    </xf>
    <xf numFmtId="172" fontId="90" fillId="13" borderId="1" xfId="3" applyNumberFormat="1" applyFont="1" applyFill="1" applyBorder="1" applyAlignment="1">
      <alignment horizontal="center" vertical="center" wrapText="1"/>
    </xf>
    <xf numFmtId="0" fontId="88" fillId="13" borderId="92" xfId="0" applyFont="1" applyFill="1" applyBorder="1" applyAlignment="1">
      <alignment horizontal="center" vertical="center" wrapText="1"/>
    </xf>
    <xf numFmtId="0" fontId="70" fillId="18" borderId="8" xfId="0" applyFont="1" applyFill="1" applyBorder="1" applyAlignment="1">
      <alignment horizontal="center" vertical="center" wrapText="1"/>
    </xf>
    <xf numFmtId="170" fontId="93" fillId="13" borderId="1" xfId="0" applyNumberFormat="1" applyFont="1" applyFill="1" applyBorder="1" applyAlignment="1">
      <alignment horizontal="center" vertical="center"/>
    </xf>
    <xf numFmtId="3" fontId="6" fillId="0" borderId="28" xfId="0" applyNumberFormat="1" applyFont="1" applyBorder="1" applyAlignment="1">
      <alignment horizontal="right" vertical="center" wrapText="1"/>
    </xf>
    <xf numFmtId="3" fontId="6" fillId="0" borderId="34" xfId="0" applyNumberFormat="1" applyFont="1" applyBorder="1" applyAlignment="1">
      <alignment horizontal="right" vertical="center" wrapText="1"/>
    </xf>
    <xf numFmtId="3" fontId="6" fillId="0" borderId="6" xfId="0" applyNumberFormat="1" applyFont="1" applyBorder="1" applyAlignment="1">
      <alignment horizontal="right" vertical="center" wrapText="1"/>
    </xf>
    <xf numFmtId="173" fontId="6" fillId="0" borderId="8" xfId="1" applyNumberFormat="1" applyFont="1" applyFill="1" applyBorder="1" applyAlignment="1">
      <alignment horizontal="right" vertical="center" wrapText="1"/>
    </xf>
    <xf numFmtId="173" fontId="26" fillId="0" borderId="28" xfId="1" applyNumberFormat="1" applyFont="1" applyFill="1" applyBorder="1" applyAlignment="1">
      <alignment horizontal="right" vertical="center" wrapText="1"/>
    </xf>
    <xf numFmtId="0" fontId="10" fillId="0" borderId="0" xfId="0" applyFont="1" applyAlignment="1">
      <alignment horizontal="right" wrapText="1"/>
    </xf>
    <xf numFmtId="0" fontId="19" fillId="0" borderId="43" xfId="0" applyFont="1" applyBorder="1"/>
    <xf numFmtId="0" fontId="18" fillId="2" borderId="34" xfId="0" applyFont="1" applyFill="1" applyBorder="1" applyAlignment="1">
      <alignment horizontal="center" vertical="center"/>
    </xf>
    <xf numFmtId="0" fontId="6" fillId="0" borderId="95" xfId="0" applyFont="1" applyBorder="1" applyAlignment="1">
      <alignment horizontal="left" vertical="center" wrapText="1"/>
    </xf>
    <xf numFmtId="0" fontId="6" fillId="0" borderId="131" xfId="0" applyFont="1" applyBorder="1" applyAlignment="1">
      <alignment vertical="center" wrapText="1"/>
    </xf>
    <xf numFmtId="170" fontId="90" fillId="8" borderId="1" xfId="3" applyNumberFormat="1" applyFont="1" applyFill="1" applyBorder="1" applyAlignment="1">
      <alignment horizontal="center" vertical="center" wrapText="1"/>
    </xf>
    <xf numFmtId="170" fontId="78" fillId="8" borderId="1" xfId="0" applyNumberFormat="1" applyFont="1" applyFill="1" applyBorder="1" applyAlignment="1">
      <alignment horizontal="center" vertical="center" wrapText="1"/>
    </xf>
    <xf numFmtId="172" fontId="90" fillId="8" borderId="1" xfId="0" applyNumberFormat="1" applyFont="1" applyFill="1" applyBorder="1" applyAlignment="1">
      <alignment horizontal="center" vertical="center"/>
    </xf>
    <xf numFmtId="174" fontId="90" fillId="8" borderId="1" xfId="3" applyNumberFormat="1" applyFont="1" applyFill="1" applyBorder="1" applyAlignment="1">
      <alignment horizontal="center" vertical="center" wrapText="1"/>
    </xf>
    <xf numFmtId="0" fontId="6" fillId="0" borderId="0" xfId="0" applyFont="1" applyAlignment="1">
      <alignment horizontal="left" vertical="center" wrapText="1"/>
    </xf>
    <xf numFmtId="0" fontId="7" fillId="0" borderId="41" xfId="0" applyFont="1" applyBorder="1" applyAlignment="1">
      <alignment horizontal="center" vertical="center" wrapText="1"/>
    </xf>
    <xf numFmtId="0" fontId="0" fillId="0" borderId="43" xfId="0" applyBorder="1"/>
    <xf numFmtId="0" fontId="55" fillId="0" borderId="20" xfId="9" applyFont="1" applyBorder="1" applyAlignment="1">
      <alignment vertical="center"/>
    </xf>
    <xf numFmtId="172" fontId="0" fillId="0" borderId="0" xfId="0" applyNumberFormat="1"/>
    <xf numFmtId="0" fontId="0" fillId="0" borderId="127" xfId="0" applyBorder="1"/>
    <xf numFmtId="0" fontId="18" fillId="2" borderId="85" xfId="0" applyFont="1" applyFill="1" applyBorder="1" applyAlignment="1">
      <alignment horizontal="center" vertical="center"/>
    </xf>
    <xf numFmtId="0" fontId="10" fillId="0" borderId="31" xfId="0" applyFont="1" applyBorder="1"/>
    <xf numFmtId="0" fontId="39" fillId="0" borderId="127" xfId="0" applyFont="1" applyBorder="1" applyAlignment="1">
      <alignment wrapText="1"/>
    </xf>
    <xf numFmtId="172" fontId="39" fillId="0" borderId="43" xfId="3" applyNumberFormat="1" applyFont="1" applyBorder="1"/>
    <xf numFmtId="0" fontId="39" fillId="0" borderId="43" xfId="0" applyFont="1" applyBorder="1" applyAlignment="1">
      <alignment wrapText="1"/>
    </xf>
    <xf numFmtId="3" fontId="53" fillId="0" borderId="5" xfId="9" applyNumberFormat="1" applyFont="1" applyBorder="1" applyAlignment="1">
      <alignment horizontal="center" vertical="top"/>
    </xf>
    <xf numFmtId="3" fontId="53" fillId="0" borderId="82" xfId="9" applyNumberFormat="1" applyFont="1" applyBorder="1" applyAlignment="1">
      <alignment horizontal="center" vertical="top"/>
    </xf>
    <xf numFmtId="3" fontId="53" fillId="0" borderId="12" xfId="9" applyNumberFormat="1" applyFont="1" applyBorder="1" applyAlignment="1">
      <alignment horizontal="center" vertical="top"/>
    </xf>
    <xf numFmtId="3" fontId="53" fillId="0" borderId="31" xfId="9" applyNumberFormat="1" applyFont="1" applyBorder="1" applyAlignment="1">
      <alignment horizontal="center" vertical="top"/>
    </xf>
    <xf numFmtId="3" fontId="53" fillId="0" borderId="32" xfId="9" applyNumberFormat="1" applyFont="1" applyBorder="1" applyAlignment="1">
      <alignment horizontal="center" vertical="top"/>
    </xf>
    <xf numFmtId="3" fontId="53" fillId="0" borderId="13" xfId="9" applyNumberFormat="1" applyFont="1" applyBorder="1" applyAlignment="1">
      <alignment horizontal="center" vertical="top"/>
    </xf>
    <xf numFmtId="3" fontId="53" fillId="0" borderId="15" xfId="9" applyNumberFormat="1" applyFont="1" applyBorder="1" applyAlignment="1">
      <alignment horizontal="center" vertical="top"/>
    </xf>
    <xf numFmtId="3" fontId="53" fillId="0" borderId="2" xfId="9" applyNumberFormat="1" applyFont="1" applyBorder="1" applyAlignment="1">
      <alignment horizontal="center" vertical="top"/>
    </xf>
    <xf numFmtId="3" fontId="53" fillId="0" borderId="7" xfId="9" applyNumberFormat="1" applyFont="1" applyBorder="1" applyAlignment="1">
      <alignment horizontal="center" vertical="top"/>
    </xf>
    <xf numFmtId="0" fontId="6" fillId="0" borderId="130" xfId="0" applyFont="1" applyBorder="1"/>
    <xf numFmtId="0" fontId="6" fillId="0" borderId="21" xfId="0" applyFont="1" applyBorder="1" applyAlignment="1">
      <alignment horizontal="left" vertical="center" wrapText="1"/>
    </xf>
    <xf numFmtId="0" fontId="7" fillId="0" borderId="20" xfId="0" applyFont="1" applyBorder="1" applyAlignment="1">
      <alignment horizontal="center" vertical="center" wrapText="1"/>
    </xf>
    <xf numFmtId="0" fontId="6" fillId="0" borderId="132" xfId="0" applyFont="1" applyBorder="1" applyAlignment="1">
      <alignment vertical="center" wrapText="1"/>
    </xf>
    <xf numFmtId="176" fontId="6" fillId="0" borderId="0" xfId="1" applyNumberFormat="1" applyFont="1" applyBorder="1" applyAlignment="1">
      <alignment horizontal="left" vertical="center" wrapText="1"/>
    </xf>
    <xf numFmtId="0" fontId="6" fillId="0" borderId="43" xfId="0" applyFont="1" applyBorder="1" applyAlignment="1">
      <alignment horizontal="left" vertical="center" wrapText="1"/>
    </xf>
    <xf numFmtId="0" fontId="6" fillId="0" borderId="41" xfId="0" applyFont="1" applyBorder="1" applyAlignment="1">
      <alignment horizontal="left" vertical="center"/>
    </xf>
    <xf numFmtId="0" fontId="12" fillId="0" borderId="0" xfId="0" applyFont="1" applyAlignment="1">
      <alignment horizontal="left" vertical="center" wrapText="1"/>
    </xf>
    <xf numFmtId="0" fontId="6" fillId="3" borderId="165" xfId="0" applyFont="1" applyFill="1" applyBorder="1" applyAlignment="1">
      <alignment horizontal="left" vertical="center" wrapText="1"/>
    </xf>
    <xf numFmtId="0" fontId="6" fillId="0" borderId="220" xfId="0" applyFont="1" applyBorder="1" applyAlignment="1">
      <alignment vertical="center" wrapText="1"/>
    </xf>
    <xf numFmtId="0" fontId="6" fillId="0" borderId="156" xfId="0" applyFont="1" applyBorder="1" applyAlignment="1">
      <alignment vertical="center" wrapText="1"/>
    </xf>
    <xf numFmtId="0" fontId="6" fillId="0" borderId="154" xfId="0" applyFont="1" applyBorder="1" applyAlignment="1">
      <alignment vertical="center" wrapText="1"/>
    </xf>
    <xf numFmtId="0" fontId="6" fillId="0" borderId="155" xfId="0" applyFont="1" applyBorder="1" applyAlignment="1">
      <alignment vertical="center" wrapText="1"/>
    </xf>
    <xf numFmtId="0" fontId="6" fillId="0" borderId="20" xfId="0" applyFont="1" applyBorder="1" applyAlignment="1">
      <alignment horizontal="left" vertical="center" wrapText="1"/>
    </xf>
    <xf numFmtId="0" fontId="6" fillId="0" borderId="156" xfId="0" applyFont="1" applyBorder="1" applyAlignment="1">
      <alignment horizontal="left" vertical="center" wrapText="1"/>
    </xf>
    <xf numFmtId="176" fontId="6" fillId="3" borderId="41" xfId="1" applyNumberFormat="1" applyFont="1" applyFill="1" applyBorder="1" applyAlignment="1">
      <alignment horizontal="left" vertical="center" wrapText="1"/>
    </xf>
    <xf numFmtId="0" fontId="6" fillId="0" borderId="23" xfId="0" applyFont="1" applyBorder="1" applyAlignment="1">
      <alignment horizontal="left" vertical="center" wrapText="1"/>
    </xf>
    <xf numFmtId="0" fontId="6" fillId="3" borderId="128" xfId="0" applyFont="1" applyFill="1" applyBorder="1" applyAlignment="1">
      <alignment vertical="center" wrapText="1"/>
    </xf>
    <xf numFmtId="0" fontId="12" fillId="0" borderId="41" xfId="0" applyFont="1" applyBorder="1" applyAlignment="1">
      <alignment horizontal="left" vertical="center" wrapText="1"/>
    </xf>
    <xf numFmtId="0" fontId="7" fillId="0" borderId="21" xfId="0" applyFont="1" applyBorder="1" applyAlignment="1">
      <alignment horizontal="center"/>
    </xf>
    <xf numFmtId="0" fontId="7" fillId="0" borderId="41" xfId="0" applyFont="1" applyBorder="1" applyAlignment="1">
      <alignment horizontal="center"/>
    </xf>
    <xf numFmtId="0" fontId="7" fillId="0" borderId="130" xfId="0" applyFont="1" applyBorder="1" applyAlignment="1">
      <alignment horizontal="center"/>
    </xf>
    <xf numFmtId="0" fontId="6" fillId="57" borderId="155" xfId="0" applyFont="1" applyFill="1" applyBorder="1"/>
    <xf numFmtId="0" fontId="6" fillId="57" borderId="0" xfId="0" applyFont="1" applyFill="1"/>
    <xf numFmtId="0" fontId="6" fillId="57" borderId="95" xfId="0" applyFont="1" applyFill="1" applyBorder="1" applyAlignment="1">
      <alignment horizontal="left" vertical="center" wrapText="1"/>
    </xf>
    <xf numFmtId="0" fontId="6" fillId="57" borderId="91" xfId="0" applyFont="1" applyFill="1" applyBorder="1" applyAlignment="1">
      <alignment horizontal="left" vertical="center" wrapText="1"/>
    </xf>
    <xf numFmtId="0" fontId="6" fillId="57" borderId="95" xfId="0" applyFont="1" applyFill="1" applyBorder="1" applyAlignment="1">
      <alignment horizontal="left" vertical="center"/>
    </xf>
    <xf numFmtId="0" fontId="6" fillId="57" borderId="91" xfId="0" applyFont="1" applyFill="1" applyBorder="1" applyAlignment="1">
      <alignment horizontal="left" vertical="center"/>
    </xf>
    <xf numFmtId="0" fontId="6" fillId="57" borderId="131" xfId="0" applyFont="1" applyFill="1" applyBorder="1" applyAlignment="1">
      <alignment horizontal="left" vertical="center"/>
    </xf>
    <xf numFmtId="0" fontId="6" fillId="57" borderId="41" xfId="0" applyFont="1" applyFill="1" applyBorder="1" applyAlignment="1">
      <alignment horizontal="left" vertical="center"/>
    </xf>
    <xf numFmtId="0" fontId="6" fillId="57" borderId="127" xfId="0" applyFont="1" applyFill="1" applyBorder="1" applyAlignment="1">
      <alignment horizontal="left" vertical="center" wrapText="1"/>
    </xf>
    <xf numFmtId="0" fontId="6" fillId="57" borderId="0" xfId="0" applyFont="1" applyFill="1" applyAlignment="1">
      <alignment horizontal="left" vertical="center" wrapText="1"/>
    </xf>
    <xf numFmtId="0" fontId="6" fillId="57" borderId="131" xfId="0" applyFont="1" applyFill="1" applyBorder="1" applyAlignment="1">
      <alignment horizontal="left" vertical="center" wrapText="1"/>
    </xf>
    <xf numFmtId="0" fontId="6" fillId="57" borderId="128" xfId="0" applyFont="1" applyFill="1" applyBorder="1" applyAlignment="1">
      <alignment vertical="center" wrapText="1"/>
    </xf>
    <xf numFmtId="0" fontId="6" fillId="57" borderId="132" xfId="0" applyFont="1" applyFill="1" applyBorder="1" applyAlignment="1">
      <alignment vertical="center" wrapText="1"/>
    </xf>
    <xf numFmtId="0" fontId="12" fillId="0" borderId="130" xfId="0" applyFont="1" applyBorder="1" applyAlignment="1">
      <alignment horizontal="left" vertical="center" wrapText="1"/>
    </xf>
    <xf numFmtId="0" fontId="12" fillId="0" borderId="21" xfId="0" applyFont="1" applyBorder="1" applyAlignment="1">
      <alignment horizontal="left" vertical="center" wrapText="1"/>
    </xf>
    <xf numFmtId="0" fontId="12" fillId="0" borderId="132" xfId="0" applyFont="1" applyBorder="1" applyAlignment="1">
      <alignment horizontal="left" vertical="center" wrapText="1"/>
    </xf>
    <xf numFmtId="0" fontId="12" fillId="57" borderId="127" xfId="0" applyFont="1" applyFill="1" applyBorder="1" applyAlignment="1">
      <alignment horizontal="left" vertical="center" wrapText="1"/>
    </xf>
    <xf numFmtId="0" fontId="12" fillId="0" borderId="43" xfId="0" applyFont="1" applyBorder="1" applyAlignment="1">
      <alignment horizontal="left" vertical="center" wrapText="1"/>
    </xf>
    <xf numFmtId="176" fontId="6" fillId="0" borderId="130" xfId="1" applyNumberFormat="1" applyFont="1" applyBorder="1" applyAlignment="1">
      <alignment horizontal="left" vertical="center" wrapText="1"/>
    </xf>
    <xf numFmtId="0" fontId="6" fillId="0" borderId="130" xfId="0" applyFont="1" applyBorder="1" applyAlignment="1">
      <alignment horizontal="left" vertical="center"/>
    </xf>
    <xf numFmtId="0" fontId="6" fillId="0" borderId="21" xfId="0" applyFont="1" applyBorder="1" applyAlignment="1">
      <alignment horizontal="left" vertical="center"/>
    </xf>
    <xf numFmtId="0" fontId="6" fillId="0" borderId="156" xfId="0" applyFont="1" applyBorder="1" applyAlignment="1">
      <alignment horizontal="left" vertical="center"/>
    </xf>
    <xf numFmtId="0" fontId="6" fillId="0" borderId="23" xfId="0" applyFont="1" applyBorder="1" applyAlignment="1">
      <alignment horizontal="left" vertical="center"/>
    </xf>
    <xf numFmtId="0" fontId="6" fillId="0" borderId="220" xfId="0" applyFont="1" applyBorder="1" applyAlignment="1">
      <alignment horizontal="left" vertical="center" wrapText="1"/>
    </xf>
    <xf numFmtId="0" fontId="6" fillId="0" borderId="155" xfId="0" applyFont="1" applyBorder="1" applyAlignment="1">
      <alignment horizontal="left" vertical="center" wrapText="1"/>
    </xf>
    <xf numFmtId="0" fontId="6" fillId="0" borderId="113" xfId="0" applyFont="1" applyBorder="1" applyAlignment="1">
      <alignment horizontal="left" vertical="center" wrapText="1"/>
    </xf>
    <xf numFmtId="0" fontId="6" fillId="0" borderId="88" xfId="0" applyFont="1" applyBorder="1" applyAlignment="1">
      <alignment horizontal="left" vertical="center" wrapText="1"/>
    </xf>
    <xf numFmtId="0" fontId="6" fillId="0" borderId="154" xfId="0" applyFont="1" applyBorder="1" applyAlignment="1">
      <alignment horizontal="left" vertical="center" wrapText="1"/>
    </xf>
    <xf numFmtId="0" fontId="12" fillId="0" borderId="154" xfId="0" applyFont="1" applyBorder="1" applyAlignment="1">
      <alignment horizontal="left" vertical="center" wrapText="1"/>
    </xf>
    <xf numFmtId="0" fontId="12" fillId="0" borderId="220" xfId="0" applyFont="1" applyBorder="1" applyAlignment="1">
      <alignment horizontal="left" vertical="center" wrapText="1"/>
    </xf>
    <xf numFmtId="0" fontId="12" fillId="0" borderId="165" xfId="0" applyFont="1" applyBorder="1" applyAlignment="1">
      <alignment horizontal="left" vertical="center" wrapText="1"/>
    </xf>
    <xf numFmtId="0" fontId="12" fillId="0" borderId="156" xfId="0" applyFont="1" applyBorder="1" applyAlignment="1">
      <alignment horizontal="left" vertical="center" wrapText="1"/>
    </xf>
    <xf numFmtId="0" fontId="12" fillId="0" borderId="88" xfId="0" applyFont="1" applyBorder="1" applyAlignment="1">
      <alignment horizontal="left" vertical="center" wrapText="1"/>
    </xf>
    <xf numFmtId="0" fontId="12" fillId="0" borderId="36" xfId="0" applyFont="1" applyBorder="1" applyAlignment="1">
      <alignment horizontal="left" vertical="center" wrapText="1"/>
    </xf>
    <xf numFmtId="0" fontId="6" fillId="0" borderId="220" xfId="0" applyFont="1" applyBorder="1" applyAlignment="1">
      <alignment horizontal="left" vertical="top" wrapText="1"/>
    </xf>
    <xf numFmtId="0" fontId="6" fillId="0" borderId="128" xfId="0" applyFont="1" applyBorder="1" applyAlignment="1">
      <alignment horizontal="left" vertical="top" wrapText="1"/>
    </xf>
    <xf numFmtId="3" fontId="12" fillId="0" borderId="37" xfId="0" applyNumberFormat="1" applyFont="1" applyBorder="1" applyAlignment="1">
      <alignment horizontal="center" vertical="center"/>
    </xf>
    <xf numFmtId="2" fontId="12" fillId="0" borderId="10" xfId="0" applyNumberFormat="1" applyFont="1" applyBorder="1" applyAlignment="1">
      <alignment horizontal="left" vertical="center"/>
    </xf>
    <xf numFmtId="0" fontId="17" fillId="2" borderId="42" xfId="0" applyFont="1" applyFill="1" applyBorder="1" applyAlignment="1">
      <alignment horizontal="center" vertical="center" wrapText="1"/>
    </xf>
    <xf numFmtId="0" fontId="17" fillId="2" borderId="89" xfId="0" applyFont="1" applyFill="1" applyBorder="1" applyAlignment="1">
      <alignment horizontal="center" vertical="center" wrapText="1"/>
    </xf>
    <xf numFmtId="0" fontId="17" fillId="2" borderId="13" xfId="0" applyFont="1" applyFill="1" applyBorder="1" applyAlignment="1">
      <alignment horizontal="left" vertical="center" wrapText="1"/>
    </xf>
    <xf numFmtId="3" fontId="12" fillId="0" borderId="3" xfId="0" applyNumberFormat="1" applyFont="1" applyBorder="1" applyAlignment="1">
      <alignment horizontal="center" vertical="center"/>
    </xf>
    <xf numFmtId="2" fontId="12" fillId="0" borderId="35" xfId="0" applyNumberFormat="1" applyFont="1" applyBorder="1" applyAlignment="1">
      <alignment horizontal="left" vertical="center"/>
    </xf>
    <xf numFmtId="2" fontId="12" fillId="0" borderId="2" xfId="0" applyNumberFormat="1" applyFont="1" applyBorder="1" applyAlignment="1">
      <alignment horizontal="right" vertical="top"/>
    </xf>
    <xf numFmtId="2" fontId="12" fillId="0" borderId="35" xfId="0" applyNumberFormat="1" applyFont="1" applyBorder="1" applyAlignment="1">
      <alignment horizontal="center" vertical="center"/>
    </xf>
    <xf numFmtId="3" fontId="12" fillId="0" borderId="85" xfId="0" applyNumberFormat="1" applyFont="1" applyBorder="1" applyAlignment="1">
      <alignment horizontal="center" vertical="center"/>
    </xf>
    <xf numFmtId="0" fontId="17" fillId="2" borderId="28" xfId="0" applyFont="1" applyFill="1" applyBorder="1" applyAlignment="1">
      <alignment horizontal="center" vertical="center" wrapText="1"/>
    </xf>
    <xf numFmtId="3" fontId="12" fillId="0" borderId="38" xfId="0" applyNumberFormat="1" applyFont="1" applyBorder="1" applyAlignment="1">
      <alignment horizontal="center" vertical="center"/>
    </xf>
    <xf numFmtId="171" fontId="12" fillId="0" borderId="38" xfId="0" applyNumberFormat="1" applyFont="1" applyBorder="1" applyAlignment="1">
      <alignment horizontal="center" vertical="center"/>
    </xf>
    <xf numFmtId="2" fontId="12" fillId="0" borderId="38" xfId="0" applyNumberFormat="1" applyFont="1" applyBorder="1" applyAlignment="1">
      <alignment horizontal="center" vertical="center"/>
    </xf>
    <xf numFmtId="0" fontId="12" fillId="0" borderId="38" xfId="0" applyFont="1" applyBorder="1" applyAlignment="1">
      <alignment horizontal="center" vertical="center"/>
    </xf>
    <xf numFmtId="2" fontId="13" fillId="0" borderId="104" xfId="0" applyNumberFormat="1" applyFont="1" applyBorder="1" applyAlignment="1">
      <alignment horizontal="left" vertical="center"/>
    </xf>
    <xf numFmtId="0" fontId="17" fillId="2" borderId="3" xfId="0" applyFont="1" applyFill="1" applyBorder="1" applyAlignment="1">
      <alignment horizontal="center" vertical="center" wrapText="1"/>
    </xf>
    <xf numFmtId="2" fontId="12" fillId="0" borderId="13" xfId="0" applyNumberFormat="1" applyFont="1" applyBorder="1" applyAlignment="1">
      <alignment horizontal="left" vertical="center"/>
    </xf>
    <xf numFmtId="0" fontId="17" fillId="2" borderId="40" xfId="0" applyFont="1" applyFill="1" applyBorder="1" applyAlignment="1">
      <alignment horizontal="left" vertical="center" wrapText="1"/>
    </xf>
    <xf numFmtId="0" fontId="17" fillId="2" borderId="89" xfId="0" applyFont="1" applyFill="1" applyBorder="1" applyAlignment="1">
      <alignment horizontal="center" wrapText="1"/>
    </xf>
    <xf numFmtId="0" fontId="17" fillId="2" borderId="28" xfId="0" applyFont="1" applyFill="1" applyBorder="1" applyAlignment="1">
      <alignment horizontal="center" wrapText="1"/>
    </xf>
    <xf numFmtId="0" fontId="17" fillId="2" borderId="42" xfId="0" applyFont="1" applyFill="1" applyBorder="1" applyAlignment="1">
      <alignment horizontal="center" wrapText="1"/>
    </xf>
    <xf numFmtId="3" fontId="12" fillId="0" borderId="43" xfId="0" applyNumberFormat="1" applyFont="1" applyBorder="1" applyAlignment="1">
      <alignment horizontal="center" vertical="center"/>
    </xf>
    <xf numFmtId="171" fontId="12" fillId="0" borderId="43" xfId="0" applyNumberFormat="1" applyFont="1" applyBorder="1" applyAlignment="1">
      <alignment horizontal="center" vertical="center"/>
    </xf>
    <xf numFmtId="2" fontId="12" fillId="0" borderId="43" xfId="0" applyNumberFormat="1" applyFont="1" applyBorder="1" applyAlignment="1">
      <alignment horizontal="center" vertical="center"/>
    </xf>
    <xf numFmtId="0" fontId="12" fillId="0" borderId="128" xfId="0" applyFont="1" applyBorder="1" applyAlignment="1">
      <alignment horizontal="center" vertical="center"/>
    </xf>
    <xf numFmtId="3" fontId="12" fillId="0" borderId="21" xfId="0" applyNumberFormat="1" applyFont="1" applyBorder="1" applyAlignment="1">
      <alignment horizontal="left" vertical="top"/>
    </xf>
    <xf numFmtId="3" fontId="12" fillId="0" borderId="43" xfId="0" applyNumberFormat="1" applyFont="1" applyBorder="1" applyAlignment="1">
      <alignment horizontal="left" vertical="top"/>
    </xf>
    <xf numFmtId="171" fontId="12" fillId="0" borderId="43" xfId="0" applyNumberFormat="1" applyFont="1" applyBorder="1" applyAlignment="1">
      <alignment horizontal="left" vertical="top"/>
    </xf>
    <xf numFmtId="2" fontId="12" fillId="0" borderId="43" xfId="0" applyNumberFormat="1" applyFont="1" applyBorder="1" applyAlignment="1">
      <alignment horizontal="left" vertical="top"/>
    </xf>
    <xf numFmtId="0" fontId="12" fillId="0" borderId="43" xfId="0" applyFont="1" applyBorder="1" applyAlignment="1">
      <alignment horizontal="left" vertical="top"/>
    </xf>
    <xf numFmtId="9" fontId="12" fillId="0" borderId="2" xfId="0" applyNumberFormat="1" applyFont="1" applyBorder="1" applyAlignment="1">
      <alignment horizontal="center" vertical="center"/>
    </xf>
    <xf numFmtId="3" fontId="6" fillId="0" borderId="31" xfId="0" applyNumberFormat="1" applyFont="1" applyBorder="1" applyAlignment="1">
      <alignment horizontal="center" vertical="center"/>
    </xf>
    <xf numFmtId="171" fontId="6" fillId="0" borderId="31" xfId="0" applyNumberFormat="1" applyFont="1" applyBorder="1" applyAlignment="1">
      <alignment horizontal="center" vertical="center"/>
    </xf>
    <xf numFmtId="2" fontId="17" fillId="2" borderId="28" xfId="0" applyNumberFormat="1" applyFont="1" applyFill="1" applyBorder="1" applyAlignment="1">
      <alignment horizontal="center" vertical="center" wrapText="1"/>
    </xf>
    <xf numFmtId="2" fontId="17" fillId="2" borderId="12" xfId="0" applyNumberFormat="1" applyFont="1" applyFill="1" applyBorder="1" applyAlignment="1">
      <alignment horizontal="center" vertical="center" wrapText="1"/>
    </xf>
    <xf numFmtId="2" fontId="17" fillId="2" borderId="42" xfId="0" applyNumberFormat="1" applyFont="1" applyFill="1" applyBorder="1" applyAlignment="1">
      <alignment horizontal="center" vertical="center" wrapText="1"/>
    </xf>
    <xf numFmtId="0" fontId="12" fillId="0" borderId="52" xfId="0" applyFont="1" applyBorder="1" applyAlignment="1">
      <alignment horizontal="left" vertical="center"/>
    </xf>
    <xf numFmtId="2" fontId="12" fillId="0" borderId="85" xfId="0" applyNumberFormat="1" applyFont="1" applyBorder="1" applyAlignment="1">
      <alignment horizontal="left" vertical="center"/>
    </xf>
    <xf numFmtId="0" fontId="6" fillId="0" borderId="43" xfId="0" applyFont="1" applyBorder="1" applyAlignment="1">
      <alignment horizontal="center" vertical="center"/>
    </xf>
    <xf numFmtId="0" fontId="6" fillId="0" borderId="128" xfId="0" applyFont="1" applyBorder="1" applyAlignment="1">
      <alignment horizontal="center" vertical="center"/>
    </xf>
    <xf numFmtId="3" fontId="12" fillId="0" borderId="84" xfId="0" applyNumberFormat="1" applyFont="1" applyBorder="1" applyAlignment="1">
      <alignment horizontal="left" vertical="top"/>
    </xf>
    <xf numFmtId="171" fontId="12" fillId="0" borderId="34" xfId="0" applyNumberFormat="1" applyFont="1" applyBorder="1" applyAlignment="1">
      <alignment horizontal="left" vertical="top"/>
    </xf>
    <xf numFmtId="9" fontId="12" fillId="0" borderId="34" xfId="0" applyNumberFormat="1" applyFont="1" applyBorder="1" applyAlignment="1">
      <alignment horizontal="left" vertical="top"/>
    </xf>
    <xf numFmtId="2" fontId="12" fillId="0" borderId="34" xfId="0" applyNumberFormat="1" applyFont="1" applyBorder="1" applyAlignment="1">
      <alignment horizontal="left" vertical="top"/>
    </xf>
    <xf numFmtId="0" fontId="6" fillId="0" borderId="43" xfId="0" applyFont="1" applyBorder="1" applyAlignment="1">
      <alignment horizontal="left" vertical="top"/>
    </xf>
    <xf numFmtId="0" fontId="6" fillId="0" borderId="128" xfId="0" applyFont="1" applyBorder="1" applyAlignment="1">
      <alignment horizontal="left" vertical="top"/>
    </xf>
    <xf numFmtId="9" fontId="12" fillId="0" borderId="85" xfId="0" applyNumberFormat="1" applyFont="1" applyBorder="1" applyAlignment="1">
      <alignment horizontal="center" vertical="center"/>
    </xf>
    <xf numFmtId="2" fontId="17" fillId="2" borderId="157" xfId="0" applyNumberFormat="1" applyFont="1" applyFill="1" applyBorder="1" applyAlignment="1">
      <alignment horizontal="left" vertical="center" wrapText="1"/>
    </xf>
    <xf numFmtId="0" fontId="12" fillId="0" borderId="31" xfId="0" applyFont="1" applyBorder="1" applyAlignment="1">
      <alignment horizontal="center" vertical="center"/>
    </xf>
    <xf numFmtId="9" fontId="12" fillId="0" borderId="31" xfId="0" applyNumberFormat="1" applyFont="1" applyBorder="1" applyAlignment="1">
      <alignment horizontal="center" vertical="center"/>
    </xf>
    <xf numFmtId="2" fontId="12" fillId="0" borderId="31" xfId="0" applyNumberFormat="1" applyFont="1" applyBorder="1" applyAlignment="1">
      <alignment horizontal="center" vertical="center"/>
    </xf>
    <xf numFmtId="9" fontId="17" fillId="2" borderId="12" xfId="0" applyNumberFormat="1" applyFont="1" applyFill="1" applyBorder="1" applyAlignment="1">
      <alignment horizontal="center" vertical="center" wrapText="1"/>
    </xf>
    <xf numFmtId="0" fontId="12" fillId="0" borderId="84" xfId="0" applyFont="1" applyBorder="1" applyAlignment="1">
      <alignment horizontal="center" vertical="center"/>
    </xf>
    <xf numFmtId="2" fontId="12" fillId="0" borderId="0" xfId="0" applyNumberFormat="1" applyFont="1" applyAlignment="1">
      <alignment horizontal="left" vertical="center"/>
    </xf>
    <xf numFmtId="2" fontId="17" fillId="2" borderId="40" xfId="0" applyNumberFormat="1" applyFont="1" applyFill="1" applyBorder="1" applyAlignment="1">
      <alignment horizontal="left" vertical="center" wrapText="1"/>
    </xf>
    <xf numFmtId="0" fontId="10" fillId="0" borderId="31" xfId="0" applyFont="1" applyBorder="1" applyAlignment="1">
      <alignment horizontal="left" vertical="center"/>
    </xf>
    <xf numFmtId="2" fontId="17" fillId="2" borderId="13" xfId="0" applyNumberFormat="1" applyFont="1" applyFill="1" applyBorder="1" applyAlignment="1">
      <alignment horizontal="left" vertical="center" wrapText="1"/>
    </xf>
    <xf numFmtId="0" fontId="10" fillId="0" borderId="97" xfId="0" applyFont="1" applyBorder="1" applyAlignment="1">
      <alignment horizontal="center" vertical="center"/>
    </xf>
    <xf numFmtId="2" fontId="17" fillId="2" borderId="92" xfId="0" applyNumberFormat="1" applyFont="1" applyFill="1" applyBorder="1" applyAlignment="1">
      <alignment horizontal="center" vertical="center" wrapText="1"/>
    </xf>
    <xf numFmtId="172" fontId="1" fillId="4" borderId="83" xfId="3" applyNumberFormat="1" applyFont="1" applyFill="1" applyBorder="1" applyAlignment="1">
      <alignment horizontal="right" vertical="center"/>
    </xf>
    <xf numFmtId="173" fontId="6" fillId="3" borderId="83" xfId="1" applyNumberFormat="1" applyFont="1" applyFill="1" applyBorder="1" applyAlignment="1">
      <alignment horizontal="left" vertical="center" wrapText="1"/>
    </xf>
    <xf numFmtId="0" fontId="6" fillId="3" borderId="0" xfId="0" applyFont="1" applyFill="1" applyAlignment="1">
      <alignment horizontal="left" vertical="center"/>
    </xf>
    <xf numFmtId="0" fontId="6" fillId="3" borderId="220" xfId="0" applyFont="1" applyFill="1" applyBorder="1" applyAlignment="1">
      <alignment horizontal="left" vertical="center"/>
    </xf>
    <xf numFmtId="0" fontId="6" fillId="3" borderId="113" xfId="0" applyFont="1" applyFill="1" applyBorder="1" applyAlignment="1">
      <alignment horizontal="left" vertical="center"/>
    </xf>
    <xf numFmtId="0" fontId="6" fillId="3" borderId="23" xfId="0" applyFont="1" applyFill="1" applyBorder="1" applyAlignment="1">
      <alignment horizontal="left" vertical="center"/>
    </xf>
    <xf numFmtId="0" fontId="6" fillId="3" borderId="156" xfId="0" applyFont="1" applyFill="1" applyBorder="1" applyAlignment="1">
      <alignment horizontal="left" vertical="center"/>
    </xf>
    <xf numFmtId="0" fontId="6" fillId="3" borderId="155" xfId="0" applyFont="1" applyFill="1" applyBorder="1" applyAlignment="1">
      <alignment horizontal="left" vertical="center"/>
    </xf>
    <xf numFmtId="0" fontId="6" fillId="3" borderId="165" xfId="0" applyFont="1" applyFill="1" applyBorder="1" applyAlignment="1">
      <alignment horizontal="left" vertical="center"/>
    </xf>
    <xf numFmtId="0" fontId="6" fillId="3" borderId="127" xfId="0" applyFont="1" applyFill="1" applyBorder="1" applyAlignment="1">
      <alignment horizontal="left" vertical="center"/>
    </xf>
    <xf numFmtId="0" fontId="6" fillId="3" borderId="131" xfId="0" applyFont="1" applyFill="1" applyBorder="1" applyAlignment="1">
      <alignment horizontal="left" vertical="center"/>
    </xf>
    <xf numFmtId="0" fontId="6" fillId="3" borderId="90" xfId="0" applyFont="1" applyFill="1" applyBorder="1" applyAlignment="1">
      <alignment horizontal="left" vertical="center"/>
    </xf>
    <xf numFmtId="176" fontId="6" fillId="3" borderId="220" xfId="1" applyNumberFormat="1" applyFont="1" applyFill="1" applyBorder="1" applyAlignment="1">
      <alignment horizontal="left" vertical="center" wrapText="1"/>
    </xf>
    <xf numFmtId="0" fontId="88" fillId="3" borderId="1" xfId="0" applyFont="1" applyFill="1" applyBorder="1" applyAlignment="1">
      <alignment horizontal="center" vertical="center" wrapText="1"/>
    </xf>
    <xf numFmtId="0" fontId="89" fillId="13" borderId="92" xfId="0" applyFont="1" applyFill="1" applyBorder="1" applyAlignment="1">
      <alignment horizontal="center" wrapText="1"/>
    </xf>
    <xf numFmtId="4" fontId="81" fillId="0" borderId="1" xfId="2" applyNumberFormat="1" applyFont="1" applyFill="1" applyBorder="1" applyAlignment="1">
      <alignment horizontal="center" vertical="center" wrapText="1"/>
    </xf>
    <xf numFmtId="174" fontId="80" fillId="0" borderId="1" xfId="0" applyNumberFormat="1" applyFont="1" applyBorder="1" applyAlignment="1">
      <alignment horizontal="center" vertical="center"/>
    </xf>
    <xf numFmtId="173" fontId="6" fillId="0" borderId="158" xfId="1" applyNumberFormat="1" applyFont="1" applyFill="1" applyBorder="1" applyAlignment="1">
      <alignment horizontal="right" vertical="center" wrapText="1"/>
    </xf>
    <xf numFmtId="0" fontId="9" fillId="0" borderId="0" xfId="0" applyFont="1" applyAlignment="1">
      <alignment horizontal="center" vertical="center"/>
    </xf>
    <xf numFmtId="173" fontId="7" fillId="55" borderId="29" xfId="1" applyNumberFormat="1" applyFont="1" applyFill="1" applyBorder="1" applyAlignment="1">
      <alignment horizontal="right" vertical="center"/>
    </xf>
    <xf numFmtId="0" fontId="9" fillId="0" borderId="0" xfId="0" applyFont="1" applyAlignment="1">
      <alignment horizontal="right" vertical="center"/>
    </xf>
    <xf numFmtId="0" fontId="10" fillId="0" borderId="0" xfId="0" applyFont="1" applyAlignment="1">
      <alignment horizontal="right" vertical="center"/>
    </xf>
    <xf numFmtId="173" fontId="6" fillId="0" borderId="3" xfId="0" applyNumberFormat="1" applyFont="1" applyBorder="1" applyAlignment="1">
      <alignment horizontal="right" vertical="center" wrapText="1"/>
    </xf>
    <xf numFmtId="3" fontId="6" fillId="0" borderId="3" xfId="0" applyNumberFormat="1" applyFont="1" applyBorder="1" applyAlignment="1">
      <alignment horizontal="right" vertical="center" wrapText="1"/>
    </xf>
    <xf numFmtId="3" fontId="6" fillId="0" borderId="37" xfId="0" applyNumberFormat="1" applyFont="1" applyBorder="1" applyAlignment="1">
      <alignment horizontal="right" vertical="center" wrapText="1"/>
    </xf>
    <xf numFmtId="3" fontId="7" fillId="54" borderId="93" xfId="0" applyNumberFormat="1" applyFont="1" applyFill="1" applyBorder="1" applyAlignment="1">
      <alignment horizontal="right" vertical="center" wrapText="1"/>
    </xf>
    <xf numFmtId="3" fontId="7" fillId="54" borderId="160" xfId="0" applyNumberFormat="1" applyFont="1" applyFill="1" applyBorder="1" applyAlignment="1">
      <alignment horizontal="right" vertical="center" wrapText="1"/>
    </xf>
    <xf numFmtId="0" fontId="48" fillId="0" borderId="0" xfId="0" applyFont="1" applyAlignment="1">
      <alignment horizontal="right" vertical="center"/>
    </xf>
    <xf numFmtId="0" fontId="6" fillId="0" borderId="6" xfId="0" applyFont="1" applyBorder="1" applyAlignment="1">
      <alignment horizontal="right" vertical="center" wrapText="1"/>
    </xf>
    <xf numFmtId="9" fontId="7" fillId="0" borderId="93" xfId="3" applyFont="1" applyFill="1" applyBorder="1" applyAlignment="1">
      <alignment horizontal="right" vertical="center" wrapText="1"/>
    </xf>
    <xf numFmtId="3" fontId="7" fillId="55" borderId="30" xfId="0" applyNumberFormat="1" applyFont="1" applyFill="1" applyBorder="1" applyAlignment="1">
      <alignment horizontal="right" vertical="center" wrapText="1"/>
    </xf>
    <xf numFmtId="3" fontId="7" fillId="55" borderId="29" xfId="0" applyNumberFormat="1" applyFont="1" applyFill="1" applyBorder="1" applyAlignment="1">
      <alignment horizontal="right" vertical="center" wrapText="1"/>
    </xf>
    <xf numFmtId="0" fontId="6" fillId="0" borderId="3" xfId="0" applyFont="1" applyBorder="1" applyAlignment="1">
      <alignment horizontal="right" vertical="center" wrapText="1"/>
    </xf>
    <xf numFmtId="3" fontId="7" fillId="54" borderId="161" xfId="0" applyNumberFormat="1" applyFont="1" applyFill="1" applyBorder="1" applyAlignment="1">
      <alignment horizontal="right" vertical="center" wrapText="1"/>
    </xf>
    <xf numFmtId="3" fontId="7" fillId="54" borderId="159" xfId="0" applyNumberFormat="1" applyFont="1" applyFill="1" applyBorder="1" applyAlignment="1">
      <alignment horizontal="right" vertical="center" wrapText="1"/>
    </xf>
    <xf numFmtId="3" fontId="7" fillId="54" borderId="158" xfId="0" applyNumberFormat="1" applyFont="1" applyFill="1" applyBorder="1" applyAlignment="1">
      <alignment horizontal="right" vertical="center" wrapText="1"/>
    </xf>
    <xf numFmtId="0" fontId="6" fillId="0" borderId="30" xfId="0" applyFont="1" applyBorder="1" applyAlignment="1">
      <alignment horizontal="right" vertical="center" wrapText="1"/>
    </xf>
    <xf numFmtId="169" fontId="6" fillId="0" borderId="3" xfId="1" applyFont="1" applyFill="1" applyBorder="1" applyAlignment="1">
      <alignment horizontal="right" vertical="center" wrapText="1"/>
    </xf>
    <xf numFmtId="3" fontId="6" fillId="0" borderId="1" xfId="1" applyNumberFormat="1" applyFont="1" applyFill="1" applyBorder="1" applyAlignment="1">
      <alignment horizontal="right" vertical="center" wrapText="1"/>
    </xf>
    <xf numFmtId="169" fontId="6" fillId="0" borderId="11" xfId="1" applyFont="1" applyFill="1" applyBorder="1" applyAlignment="1">
      <alignment horizontal="right" vertical="center" wrapText="1"/>
    </xf>
    <xf numFmtId="169" fontId="6" fillId="0" borderId="8" xfId="1" applyFont="1" applyFill="1" applyBorder="1" applyAlignment="1">
      <alignment horizontal="right" vertical="center" wrapText="1"/>
    </xf>
    <xf numFmtId="3" fontId="6" fillId="0" borderId="8" xfId="1" applyNumberFormat="1" applyFont="1" applyFill="1" applyBorder="1" applyAlignment="1">
      <alignment horizontal="right" vertical="center" wrapText="1"/>
    </xf>
    <xf numFmtId="0" fontId="6" fillId="0" borderId="65" xfId="0" applyFont="1" applyBorder="1" applyAlignment="1">
      <alignment horizontal="left" vertical="center" wrapText="1"/>
    </xf>
    <xf numFmtId="3" fontId="6" fillId="3" borderId="30" xfId="0" applyNumberFormat="1" applyFont="1" applyFill="1" applyBorder="1" applyAlignment="1">
      <alignment horizontal="right" vertical="center" wrapText="1"/>
    </xf>
    <xf numFmtId="3" fontId="6" fillId="3" borderId="29" xfId="0" applyNumberFormat="1" applyFont="1" applyFill="1" applyBorder="1" applyAlignment="1">
      <alignment horizontal="right" vertical="center" wrapText="1"/>
    </xf>
    <xf numFmtId="0" fontId="10" fillId="3" borderId="0" xfId="0" applyFont="1" applyFill="1" applyAlignment="1">
      <alignment horizontal="right" vertical="center"/>
    </xf>
    <xf numFmtId="0" fontId="20" fillId="0" borderId="0" xfId="0" applyFont="1" applyAlignment="1">
      <alignment horizontal="center" wrapText="1"/>
    </xf>
    <xf numFmtId="0" fontId="52" fillId="0" borderId="0" xfId="9" applyAlignment="1">
      <alignment horizontal="center"/>
    </xf>
    <xf numFmtId="0" fontId="61" fillId="0" borderId="0" xfId="0" applyFont="1" applyAlignment="1">
      <alignment horizontal="center" wrapText="1"/>
    </xf>
    <xf numFmtId="0" fontId="6" fillId="0" borderId="0" xfId="9" applyFont="1" applyAlignment="1">
      <alignment horizontal="center"/>
    </xf>
    <xf numFmtId="0" fontId="53" fillId="0" borderId="0" xfId="9" applyFont="1" applyAlignment="1">
      <alignment horizontal="center"/>
    </xf>
    <xf numFmtId="0" fontId="53" fillId="0" borderId="155" xfId="9" applyFont="1" applyBorder="1" applyAlignment="1">
      <alignment horizontal="center" vertical="top"/>
    </xf>
    <xf numFmtId="3" fontId="52" fillId="0" borderId="0" xfId="9" applyNumberFormat="1" applyAlignment="1">
      <alignment horizontal="center"/>
    </xf>
    <xf numFmtId="0" fontId="53" fillId="0" borderId="82" xfId="9" applyFont="1" applyBorder="1" applyAlignment="1">
      <alignment horizontal="center" vertical="top"/>
    </xf>
    <xf numFmtId="0" fontId="53" fillId="0" borderId="5" xfId="9" applyFont="1" applyBorder="1" applyAlignment="1">
      <alignment horizontal="center" vertical="top"/>
    </xf>
    <xf numFmtId="0" fontId="53" fillId="0" borderId="90" xfId="9" applyFont="1" applyBorder="1" applyAlignment="1">
      <alignment horizontal="center" vertical="top"/>
    </xf>
    <xf numFmtId="0" fontId="53" fillId="0" borderId="7" xfId="9" applyFont="1" applyBorder="1" applyAlignment="1">
      <alignment horizontal="center" vertical="top"/>
    </xf>
    <xf numFmtId="0" fontId="53" fillId="0" borderId="6" xfId="9" applyFont="1" applyBorder="1" applyAlignment="1">
      <alignment horizontal="center" vertical="top"/>
    </xf>
    <xf numFmtId="0" fontId="52" fillId="0" borderId="0" xfId="9" applyAlignment="1">
      <alignment horizontal="left"/>
    </xf>
    <xf numFmtId="0" fontId="53" fillId="0" borderId="0" xfId="9" applyFont="1" applyAlignment="1">
      <alignment horizontal="left"/>
    </xf>
    <xf numFmtId="0" fontId="26" fillId="58" borderId="83" xfId="0" applyFont="1" applyFill="1" applyBorder="1" applyAlignment="1">
      <alignment wrapText="1"/>
    </xf>
    <xf numFmtId="0" fontId="26" fillId="58" borderId="83" xfId="0" applyFont="1" applyFill="1" applyBorder="1"/>
    <xf numFmtId="0" fontId="26" fillId="58" borderId="18" xfId="0" applyFont="1" applyFill="1" applyBorder="1"/>
    <xf numFmtId="0" fontId="26" fillId="58" borderId="156" xfId="0" applyFont="1" applyFill="1" applyBorder="1"/>
    <xf numFmtId="0" fontId="26" fillId="58" borderId="10" xfId="0" applyFont="1" applyFill="1" applyBorder="1" applyAlignment="1">
      <alignment wrapText="1"/>
    </xf>
    <xf numFmtId="0" fontId="26" fillId="58" borderId="154" xfId="0" applyFont="1" applyFill="1" applyBorder="1"/>
    <xf numFmtId="0" fontId="6" fillId="3" borderId="83" xfId="0" applyFont="1" applyFill="1" applyBorder="1" applyAlignment="1">
      <alignment horizontal="left" vertical="center" wrapText="1"/>
    </xf>
    <xf numFmtId="0" fontId="6" fillId="3" borderId="156" xfId="0" applyFont="1" applyFill="1" applyBorder="1" applyAlignment="1">
      <alignment horizontal="left" vertical="center" wrapText="1"/>
    </xf>
    <xf numFmtId="0" fontId="6" fillId="3" borderId="131" xfId="0" applyFont="1" applyFill="1" applyBorder="1" applyAlignment="1">
      <alignment horizontal="left" vertical="center" wrapText="1"/>
    </xf>
    <xf numFmtId="2" fontId="6" fillId="3" borderId="220" xfId="0" applyNumberFormat="1" applyFont="1" applyFill="1" applyBorder="1" applyAlignment="1">
      <alignment horizontal="left" vertical="center" wrapText="1"/>
    </xf>
    <xf numFmtId="0" fontId="6" fillId="3" borderId="220" xfId="0" applyFont="1" applyFill="1" applyBorder="1" applyAlignment="1">
      <alignment horizontal="left" vertical="center" wrapText="1"/>
    </xf>
    <xf numFmtId="2" fontId="6" fillId="3" borderId="156" xfId="0" applyNumberFormat="1" applyFont="1" applyFill="1" applyBorder="1" applyAlignment="1">
      <alignment horizontal="left" vertical="center" wrapText="1"/>
    </xf>
    <xf numFmtId="173" fontId="6" fillId="3" borderId="88" xfId="1" applyNumberFormat="1" applyFont="1" applyFill="1" applyBorder="1" applyAlignment="1">
      <alignment horizontal="left" vertical="center" wrapText="1"/>
    </xf>
    <xf numFmtId="3" fontId="6" fillId="3" borderId="154" xfId="0" applyNumberFormat="1" applyFont="1" applyFill="1" applyBorder="1" applyAlignment="1">
      <alignment horizontal="left" vertical="center" wrapText="1"/>
    </xf>
    <xf numFmtId="0" fontId="134" fillId="0" borderId="130" xfId="0" applyFont="1" applyBorder="1" applyAlignment="1">
      <alignment wrapText="1"/>
    </xf>
    <xf numFmtId="0" fontId="134" fillId="0" borderId="43" xfId="0" applyFont="1" applyBorder="1" applyAlignment="1">
      <alignment wrapText="1"/>
    </xf>
    <xf numFmtId="0" fontId="12" fillId="0" borderId="155" xfId="0" applyFont="1" applyBorder="1" applyAlignment="1">
      <alignment horizontal="left" vertical="center" wrapText="1"/>
    </xf>
    <xf numFmtId="0" fontId="12" fillId="0" borderId="90" xfId="0" applyFont="1" applyBorder="1" applyAlignment="1">
      <alignment horizontal="left" vertical="center" wrapText="1"/>
    </xf>
    <xf numFmtId="0" fontId="134" fillId="0" borderId="132" xfId="0" applyFont="1" applyBorder="1" applyAlignment="1">
      <alignment wrapText="1"/>
    </xf>
    <xf numFmtId="0" fontId="18" fillId="0" borderId="0" xfId="0" applyFont="1" applyAlignment="1">
      <alignment horizontal="left" wrapText="1"/>
    </xf>
    <xf numFmtId="0" fontId="6" fillId="0" borderId="43" xfId="0" applyFont="1" applyBorder="1"/>
    <xf numFmtId="172" fontId="81" fillId="8" borderId="1" xfId="2" applyNumberFormat="1" applyFont="1" applyFill="1" applyBorder="1" applyAlignment="1">
      <alignment horizontal="center" vertical="center" wrapText="1"/>
    </xf>
    <xf numFmtId="0" fontId="135" fillId="0" borderId="0" xfId="0" applyFont="1" applyAlignment="1">
      <alignment horizontal="left" vertical="center"/>
    </xf>
    <xf numFmtId="0" fontId="0" fillId="0" borderId="41" xfId="0" applyBorder="1"/>
    <xf numFmtId="0" fontId="55" fillId="0" borderId="31" xfId="9" applyFont="1" applyBorder="1" applyAlignment="1">
      <alignment vertical="center"/>
    </xf>
    <xf numFmtId="0" fontId="6" fillId="57" borderId="31" xfId="0" applyFont="1" applyFill="1" applyBorder="1"/>
    <xf numFmtId="0" fontId="6" fillId="57" borderId="33" xfId="0" applyFont="1" applyFill="1" applyBorder="1"/>
    <xf numFmtId="0" fontId="6" fillId="57" borderId="38" xfId="0" applyFont="1" applyFill="1" applyBorder="1" applyAlignment="1">
      <alignment horizontal="center" vertical="center" wrapText="1"/>
    </xf>
    <xf numFmtId="0" fontId="6" fillId="57" borderId="39" xfId="0" applyFont="1" applyFill="1" applyBorder="1" applyAlignment="1">
      <alignment horizontal="center" vertical="center" wrapText="1"/>
    </xf>
    <xf numFmtId="0" fontId="6" fillId="3" borderId="162" xfId="0" applyFont="1" applyFill="1" applyBorder="1" applyAlignment="1">
      <alignment horizontal="left" vertical="center" wrapText="1"/>
    </xf>
    <xf numFmtId="0" fontId="6" fillId="57" borderId="41" xfId="0" applyFont="1" applyFill="1" applyBorder="1" applyAlignment="1">
      <alignment vertical="center" wrapText="1"/>
    </xf>
    <xf numFmtId="0" fontId="6" fillId="57" borderId="0" xfId="0" applyFont="1" applyFill="1" applyAlignment="1">
      <alignment vertical="center" wrapText="1"/>
    </xf>
    <xf numFmtId="0" fontId="6" fillId="57" borderId="127" xfId="0" applyFont="1" applyFill="1" applyBorder="1" applyAlignment="1">
      <alignment vertical="center" wrapText="1"/>
    </xf>
    <xf numFmtId="0" fontId="7" fillId="0" borderId="127" xfId="0" applyFont="1" applyBorder="1" applyAlignment="1">
      <alignment horizontal="center" vertical="center" wrapText="1"/>
    </xf>
    <xf numFmtId="0" fontId="6" fillId="57" borderId="22" xfId="0" applyFont="1" applyFill="1" applyBorder="1" applyAlignment="1">
      <alignment horizontal="left" vertical="center" wrapText="1"/>
    </xf>
    <xf numFmtId="0" fontId="6" fillId="57" borderId="127" xfId="0" applyFont="1" applyFill="1" applyBorder="1"/>
    <xf numFmtId="0" fontId="6" fillId="57" borderId="165" xfId="0" applyFont="1" applyFill="1" applyBorder="1"/>
    <xf numFmtId="3" fontId="9" fillId="4" borderId="92" xfId="0" applyNumberFormat="1" applyFont="1" applyFill="1" applyBorder="1" applyAlignment="1">
      <alignment horizontal="center" vertical="center"/>
    </xf>
    <xf numFmtId="0" fontId="20" fillId="0" borderId="0" xfId="0" applyFont="1" applyAlignment="1">
      <alignment horizontal="left" vertical="center" wrapText="1"/>
    </xf>
    <xf numFmtId="0" fontId="20" fillId="0" borderId="0" xfId="0" applyFont="1" applyAlignment="1">
      <alignment horizontal="left" wrapText="1"/>
    </xf>
    <xf numFmtId="0" fontId="18" fillId="2" borderId="125" xfId="0" applyFont="1" applyFill="1" applyBorder="1" applyAlignment="1">
      <alignment horizontal="center" vertical="center"/>
    </xf>
    <xf numFmtId="0" fontId="10" fillId="0" borderId="72" xfId="0" applyFont="1" applyBorder="1"/>
    <xf numFmtId="0" fontId="10" fillId="0" borderId="31" xfId="0" applyFont="1" applyBorder="1" applyAlignment="1">
      <alignment horizontal="center" vertical="center"/>
    </xf>
    <xf numFmtId="0" fontId="10" fillId="0" borderId="31" xfId="0" applyFont="1" applyBorder="1" applyAlignment="1">
      <alignment horizontal="right"/>
    </xf>
    <xf numFmtId="0" fontId="10" fillId="0" borderId="41" xfId="0" applyFont="1" applyBorder="1"/>
    <xf numFmtId="9" fontId="6" fillId="0" borderId="159" xfId="0" applyNumberFormat="1" applyFont="1" applyBorder="1" applyAlignment="1">
      <alignment horizontal="center" vertical="center" wrapText="1"/>
    </xf>
    <xf numFmtId="9" fontId="6" fillId="0" borderId="158" xfId="0" applyNumberFormat="1" applyFont="1" applyBorder="1" applyAlignment="1">
      <alignment horizontal="center" vertical="center" wrapText="1"/>
    </xf>
    <xf numFmtId="9" fontId="6" fillId="0" borderId="158" xfId="0" applyNumberFormat="1" applyFont="1" applyBorder="1" applyAlignment="1">
      <alignment horizontal="center" vertical="center"/>
    </xf>
    <xf numFmtId="9" fontId="6" fillId="0" borderId="104" xfId="0" applyNumberFormat="1" applyFont="1" applyBorder="1" applyAlignment="1">
      <alignment horizontal="center" vertical="center" wrapText="1"/>
    </xf>
    <xf numFmtId="9" fontId="6" fillId="0" borderId="81" xfId="0" applyNumberFormat="1" applyFont="1" applyBorder="1" applyAlignment="1">
      <alignment horizontal="center" vertical="center" wrapText="1"/>
    </xf>
    <xf numFmtId="9" fontId="6" fillId="0" borderId="80" xfId="0" applyNumberFormat="1" applyFont="1" applyBorder="1" applyAlignment="1">
      <alignment horizontal="center" vertical="center" wrapText="1"/>
    </xf>
    <xf numFmtId="9" fontId="6" fillId="0" borderId="80" xfId="0" applyNumberFormat="1" applyFont="1" applyBorder="1" applyAlignment="1">
      <alignment horizontal="center" vertical="center"/>
    </xf>
    <xf numFmtId="9" fontId="6" fillId="0" borderId="29" xfId="0" applyNumberFormat="1" applyFont="1" applyBorder="1" applyAlignment="1">
      <alignment horizontal="center" vertical="center" wrapText="1"/>
    </xf>
    <xf numFmtId="0" fontId="136" fillId="0" borderId="0" xfId="0" applyFont="1" applyAlignment="1">
      <alignment horizontal="left" vertical="center" wrapText="1"/>
    </xf>
    <xf numFmtId="10" fontId="6" fillId="0" borderId="6" xfId="0" applyNumberFormat="1" applyFont="1" applyBorder="1" applyAlignment="1">
      <alignment horizontal="center" vertical="center" wrapText="1"/>
    </xf>
    <xf numFmtId="3" fontId="6" fillId="0" borderId="89" xfId="1" applyNumberFormat="1" applyFont="1" applyFill="1" applyBorder="1" applyAlignment="1">
      <alignment horizontal="center" vertical="center" wrapText="1"/>
    </xf>
    <xf numFmtId="10" fontId="6" fillId="0" borderId="3" xfId="0" applyNumberFormat="1" applyFont="1" applyBorder="1" applyAlignment="1">
      <alignment horizontal="center" vertical="center" wrapText="1"/>
    </xf>
    <xf numFmtId="3" fontId="6" fillId="0" borderId="19" xfId="1" applyNumberFormat="1" applyFont="1" applyFill="1" applyBorder="1" applyAlignment="1">
      <alignment horizontal="center" vertical="center" wrapText="1"/>
    </xf>
    <xf numFmtId="10" fontId="6" fillId="4" borderId="3" xfId="0" applyNumberFormat="1" applyFont="1" applyFill="1" applyBorder="1" applyAlignment="1">
      <alignment horizontal="center" vertical="center" wrapText="1"/>
    </xf>
    <xf numFmtId="172" fontId="6" fillId="4" borderId="19" xfId="3" applyNumberFormat="1" applyFont="1" applyFill="1" applyBorder="1" applyAlignment="1">
      <alignment horizontal="center" vertical="center" wrapText="1"/>
    </xf>
    <xf numFmtId="176" fontId="6" fillId="4" borderId="19" xfId="1" applyNumberFormat="1" applyFont="1" applyFill="1" applyBorder="1" applyAlignment="1">
      <alignment horizontal="center" vertical="center" wrapText="1"/>
    </xf>
    <xf numFmtId="9" fontId="6" fillId="4" borderId="19" xfId="3" applyFont="1" applyFill="1" applyBorder="1" applyAlignment="1">
      <alignment horizontal="center" vertical="center" wrapText="1"/>
    </xf>
    <xf numFmtId="10" fontId="6" fillId="4" borderId="11" xfId="0" applyNumberFormat="1" applyFont="1" applyFill="1" applyBorder="1" applyAlignment="1">
      <alignment horizontal="center" vertical="center" wrapText="1"/>
    </xf>
    <xf numFmtId="10" fontId="6" fillId="4" borderId="165" xfId="0" applyNumberFormat="1" applyFont="1" applyFill="1" applyBorder="1" applyAlignment="1">
      <alignment horizontal="center" vertical="center" wrapText="1"/>
    </xf>
    <xf numFmtId="10" fontId="6" fillId="4" borderId="156" xfId="0" applyNumberFormat="1" applyFont="1" applyFill="1" applyBorder="1" applyAlignment="1">
      <alignment horizontal="center" vertical="center" wrapText="1"/>
    </xf>
    <xf numFmtId="0" fontId="59" fillId="0" borderId="23" xfId="0" applyFont="1" applyBorder="1" applyAlignment="1">
      <alignment horizontal="center" vertical="center" wrapText="1"/>
    </xf>
    <xf numFmtId="0" fontId="59" fillId="0" borderId="23" xfId="0" applyFont="1" applyBorder="1" applyAlignment="1">
      <alignment horizontal="left" vertical="center" wrapText="1"/>
    </xf>
    <xf numFmtId="0" fontId="138" fillId="0" borderId="0" xfId="0" applyFont="1"/>
    <xf numFmtId="3" fontId="133" fillId="0" borderId="0" xfId="0" applyNumberFormat="1" applyFont="1" applyAlignment="1">
      <alignment horizontal="center" vertical="center"/>
    </xf>
    <xf numFmtId="9" fontId="138" fillId="0" borderId="0" xfId="3" applyFont="1"/>
    <xf numFmtId="0" fontId="61" fillId="0" borderId="0" xfId="0" applyFont="1" applyAlignment="1">
      <alignment horizontal="left" vertical="center" wrapText="1"/>
    </xf>
    <xf numFmtId="176" fontId="6" fillId="4" borderId="89" xfId="1" applyNumberFormat="1" applyFont="1" applyFill="1" applyBorder="1" applyAlignment="1">
      <alignment horizontal="center" vertical="center" wrapText="1"/>
    </xf>
    <xf numFmtId="0" fontId="6" fillId="0" borderId="132" xfId="0" applyFont="1" applyBorder="1"/>
    <xf numFmtId="0" fontId="139" fillId="3" borderId="0" xfId="0" applyFont="1" applyFill="1"/>
    <xf numFmtId="0" fontId="8" fillId="2" borderId="165" xfId="0" applyFont="1" applyFill="1" applyBorder="1" applyAlignment="1">
      <alignment horizontal="center" vertical="center"/>
    </xf>
    <xf numFmtId="0" fontId="11" fillId="3" borderId="155" xfId="0" applyFont="1" applyFill="1" applyBorder="1" applyAlignment="1">
      <alignment horizontal="center" vertical="center"/>
    </xf>
    <xf numFmtId="0" fontId="6" fillId="3" borderId="155" xfId="0" applyFont="1" applyFill="1" applyBorder="1" applyAlignment="1">
      <alignment vertical="center"/>
    </xf>
    <xf numFmtId="1" fontId="11" fillId="3" borderId="156" xfId="0" applyNumberFormat="1" applyFont="1" applyFill="1" applyBorder="1" applyAlignment="1">
      <alignment horizontal="center" vertical="center"/>
    </xf>
    <xf numFmtId="0" fontId="6" fillId="3" borderId="156" xfId="0" applyFont="1" applyFill="1" applyBorder="1" applyAlignment="1">
      <alignment vertical="center"/>
    </xf>
    <xf numFmtId="0" fontId="11" fillId="3" borderId="156" xfId="0" applyFont="1" applyFill="1" applyBorder="1" applyAlignment="1">
      <alignment horizontal="center" vertical="center"/>
    </xf>
    <xf numFmtId="2" fontId="9" fillId="4" borderId="156" xfId="0" applyNumberFormat="1" applyFont="1" applyFill="1" applyBorder="1" applyAlignment="1">
      <alignment horizontal="center" vertical="center"/>
    </xf>
    <xf numFmtId="2" fontId="6" fillId="4" borderId="154" xfId="0" applyNumberFormat="1" applyFont="1" applyFill="1" applyBorder="1" applyAlignment="1">
      <alignment horizontal="center" vertical="center"/>
    </xf>
    <xf numFmtId="0" fontId="6" fillId="4" borderId="154" xfId="0" applyFont="1" applyFill="1" applyBorder="1" applyAlignment="1">
      <alignment vertical="center"/>
    </xf>
    <xf numFmtId="1" fontId="6" fillId="3" borderId="155" xfId="0" applyNumberFormat="1" applyFont="1" applyFill="1" applyBorder="1" applyAlignment="1">
      <alignment horizontal="center" vertical="center"/>
    </xf>
    <xf numFmtId="0" fontId="6" fillId="3" borderId="155" xfId="0" applyFont="1" applyFill="1" applyBorder="1" applyAlignment="1">
      <alignment horizontal="center" vertical="center"/>
    </xf>
    <xf numFmtId="1" fontId="6" fillId="3" borderId="156" xfId="0" applyNumberFormat="1" applyFont="1" applyFill="1" applyBorder="1" applyAlignment="1">
      <alignment horizontal="center" vertical="center"/>
    </xf>
    <xf numFmtId="3" fontId="6" fillId="3" borderId="156" xfId="0" applyNumberFormat="1" applyFont="1" applyFill="1" applyBorder="1" applyAlignment="1">
      <alignment horizontal="center" vertical="center"/>
    </xf>
    <xf numFmtId="3" fontId="9" fillId="4" borderId="156" xfId="0" applyNumberFormat="1" applyFont="1" applyFill="1" applyBorder="1" applyAlignment="1">
      <alignment horizontal="center" vertical="center"/>
    </xf>
    <xf numFmtId="0" fontId="6" fillId="3" borderId="156" xfId="0" applyFont="1" applyFill="1" applyBorder="1" applyAlignment="1">
      <alignment horizontal="center" vertical="center"/>
    </xf>
    <xf numFmtId="178" fontId="6" fillId="3" borderId="156" xfId="0" applyNumberFormat="1" applyFont="1" applyFill="1" applyBorder="1" applyAlignment="1">
      <alignment horizontal="center" vertical="center"/>
    </xf>
    <xf numFmtId="0" fontId="6" fillId="3" borderId="156" xfId="3" applyNumberFormat="1" applyFont="1" applyFill="1" applyBorder="1" applyAlignment="1">
      <alignment horizontal="center" vertical="center"/>
    </xf>
    <xf numFmtId="0" fontId="6" fillId="3" borderId="220" xfId="0" applyFont="1" applyFill="1" applyBorder="1" applyAlignment="1">
      <alignment horizontal="center" vertical="center"/>
    </xf>
    <xf numFmtId="2" fontId="9" fillId="4" borderId="220" xfId="0" applyNumberFormat="1" applyFont="1" applyFill="1" applyBorder="1" applyAlignment="1">
      <alignment horizontal="center" vertical="center"/>
    </xf>
    <xf numFmtId="0" fontId="6" fillId="4" borderId="154" xfId="0" applyFont="1" applyFill="1" applyBorder="1" applyAlignment="1">
      <alignment horizontal="center" vertical="center"/>
    </xf>
    <xf numFmtId="9" fontId="6" fillId="4" borderId="154" xfId="0" applyNumberFormat="1" applyFont="1" applyFill="1" applyBorder="1" applyAlignment="1">
      <alignment horizontal="center" vertical="center"/>
    </xf>
    <xf numFmtId="0" fontId="6" fillId="4" borderId="155" xfId="0" applyFont="1" applyFill="1" applyBorder="1" applyAlignment="1">
      <alignment horizontal="center" vertical="center"/>
    </xf>
    <xf numFmtId="9" fontId="6" fillId="4" borderId="155" xfId="0" applyNumberFormat="1" applyFont="1" applyFill="1" applyBorder="1" applyAlignment="1">
      <alignment horizontal="center" vertical="center"/>
    </xf>
    <xf numFmtId="1" fontId="6" fillId="4" borderId="155" xfId="0" applyNumberFormat="1" applyFont="1" applyFill="1" applyBorder="1" applyAlignment="1">
      <alignment horizontal="center" vertical="center"/>
    </xf>
    <xf numFmtId="0" fontId="6" fillId="4" borderId="156" xfId="0" applyFont="1" applyFill="1" applyBorder="1" applyAlignment="1">
      <alignment vertical="center"/>
    </xf>
    <xf numFmtId="9" fontId="6" fillId="4" borderId="156" xfId="0" applyNumberFormat="1" applyFont="1" applyFill="1" applyBorder="1" applyAlignment="1">
      <alignment vertical="center"/>
    </xf>
    <xf numFmtId="1" fontId="6" fillId="4" borderId="156" xfId="0" applyNumberFormat="1" applyFont="1" applyFill="1" applyBorder="1" applyAlignment="1">
      <alignment horizontal="center" vertical="center"/>
    </xf>
    <xf numFmtId="3" fontId="6" fillId="4" borderId="156" xfId="0" applyNumberFormat="1" applyFont="1" applyFill="1" applyBorder="1" applyAlignment="1">
      <alignment horizontal="center" vertical="center"/>
    </xf>
    <xf numFmtId="0" fontId="6" fillId="4" borderId="156" xfId="0" applyFont="1" applyFill="1" applyBorder="1" applyAlignment="1">
      <alignment horizontal="center" vertical="center"/>
    </xf>
    <xf numFmtId="2" fontId="11" fillId="4" borderId="156" xfId="0" applyNumberFormat="1" applyFont="1" applyFill="1" applyBorder="1" applyAlignment="1">
      <alignment horizontal="center" vertical="center"/>
    </xf>
    <xf numFmtId="170" fontId="6" fillId="4" borderId="154" xfId="0" applyNumberFormat="1" applyFont="1" applyFill="1" applyBorder="1" applyAlignment="1">
      <alignment horizontal="center" vertical="center"/>
    </xf>
    <xf numFmtId="172" fontId="10" fillId="0" borderId="19" xfId="3" applyNumberFormat="1" applyFont="1" applyFill="1" applyBorder="1" applyAlignment="1">
      <alignment horizontal="center" vertical="center"/>
    </xf>
    <xf numFmtId="172" fontId="9" fillId="0" borderId="19" xfId="3" applyNumberFormat="1" applyFont="1" applyFill="1" applyBorder="1" applyAlignment="1">
      <alignment horizontal="center" vertical="center"/>
    </xf>
    <xf numFmtId="172" fontId="10" fillId="0" borderId="87" xfId="3" applyNumberFormat="1" applyFont="1" applyFill="1" applyBorder="1" applyAlignment="1">
      <alignment horizontal="center" vertical="center"/>
    </xf>
    <xf numFmtId="172" fontId="10" fillId="4" borderId="84" xfId="3" applyNumberFormat="1" applyFont="1" applyFill="1" applyBorder="1" applyAlignment="1">
      <alignment horizontal="center" vertical="center"/>
    </xf>
    <xf numFmtId="0" fontId="67" fillId="8" borderId="0" xfId="0" applyFont="1" applyFill="1"/>
    <xf numFmtId="0" fontId="70" fillId="8" borderId="8" xfId="0" applyFont="1" applyFill="1" applyBorder="1" applyAlignment="1">
      <alignment horizontal="center" vertical="center" wrapText="1"/>
    </xf>
    <xf numFmtId="0" fontId="78" fillId="8" borderId="5" xfId="0" applyFont="1" applyFill="1" applyBorder="1" applyAlignment="1">
      <alignment horizontal="center" vertical="center" wrapText="1"/>
    </xf>
    <xf numFmtId="0" fontId="78" fillId="8" borderId="1" xfId="0" applyFont="1" applyFill="1" applyBorder="1" applyAlignment="1">
      <alignment horizontal="center" vertical="center" wrapText="1"/>
    </xf>
    <xf numFmtId="3" fontId="81" fillId="8" borderId="1" xfId="2" applyNumberFormat="1" applyFont="1" applyFill="1" applyBorder="1" applyAlignment="1">
      <alignment horizontal="center" vertical="center" wrapText="1"/>
    </xf>
    <xf numFmtId="4" fontId="81" fillId="8" borderId="1" xfId="2" applyNumberFormat="1" applyFont="1" applyFill="1" applyBorder="1" applyAlignment="1">
      <alignment horizontal="center" vertical="center" wrapText="1"/>
    </xf>
    <xf numFmtId="172" fontId="80" fillId="8" borderId="1" xfId="0" applyNumberFormat="1" applyFont="1" applyFill="1" applyBorder="1" applyAlignment="1">
      <alignment horizontal="center" vertical="center"/>
    </xf>
    <xf numFmtId="9" fontId="80" fillId="8" borderId="1" xfId="0" applyNumberFormat="1" applyFont="1" applyFill="1" applyBorder="1" applyAlignment="1">
      <alignment horizontal="center" vertical="center"/>
    </xf>
    <xf numFmtId="172" fontId="80" fillId="8" borderId="1" xfId="3" applyNumberFormat="1" applyFont="1" applyFill="1" applyBorder="1" applyAlignment="1">
      <alignment horizontal="center" vertical="center" wrapText="1"/>
    </xf>
    <xf numFmtId="1" fontId="81" fillId="8" borderId="1" xfId="2" applyNumberFormat="1" applyFont="1" applyFill="1" applyBorder="1" applyAlignment="1">
      <alignment horizontal="center" vertical="center" wrapText="1"/>
    </xf>
    <xf numFmtId="3" fontId="80" fillId="8" borderId="1" xfId="0" applyNumberFormat="1" applyFont="1" applyFill="1" applyBorder="1" applyAlignment="1">
      <alignment horizontal="center" vertical="center"/>
    </xf>
    <xf numFmtId="4" fontId="80" fillId="8" borderId="1" xfId="0" applyNumberFormat="1" applyFont="1" applyFill="1" applyBorder="1" applyAlignment="1">
      <alignment horizontal="center" vertical="center"/>
    </xf>
    <xf numFmtId="172" fontId="78" fillId="8" borderId="1" xfId="0" applyNumberFormat="1" applyFont="1" applyFill="1" applyBorder="1" applyAlignment="1">
      <alignment horizontal="center" vertical="center" wrapText="1"/>
    </xf>
    <xf numFmtId="3" fontId="78" fillId="8" borderId="1" xfId="0" applyNumberFormat="1" applyFont="1" applyFill="1" applyBorder="1" applyAlignment="1">
      <alignment horizontal="center" vertical="center" wrapText="1"/>
    </xf>
    <xf numFmtId="174" fontId="78" fillId="8" borderId="1" xfId="0" applyNumberFormat="1" applyFont="1" applyFill="1" applyBorder="1" applyAlignment="1">
      <alignment horizontal="center" vertical="center" wrapText="1"/>
    </xf>
    <xf numFmtId="0" fontId="88" fillId="8" borderId="5" xfId="0" applyFont="1" applyFill="1" applyBorder="1" applyAlignment="1">
      <alignment horizontal="center" vertical="center" wrapText="1"/>
    </xf>
    <xf numFmtId="9" fontId="90" fillId="8" borderId="1" xfId="0" applyNumberFormat="1" applyFont="1" applyFill="1" applyBorder="1" applyAlignment="1">
      <alignment horizontal="center" vertical="center"/>
    </xf>
    <xf numFmtId="3" fontId="90" fillId="8" borderId="1" xfId="2" applyNumberFormat="1" applyFont="1" applyFill="1" applyBorder="1" applyAlignment="1">
      <alignment horizontal="center" vertical="center" wrapText="1"/>
    </xf>
    <xf numFmtId="172" fontId="90" fillId="8" borderId="1" xfId="2" applyNumberFormat="1" applyFont="1" applyFill="1" applyBorder="1" applyAlignment="1">
      <alignment horizontal="center" vertical="center" wrapText="1"/>
    </xf>
    <xf numFmtId="1" fontId="90" fillId="8" borderId="1" xfId="3" applyNumberFormat="1" applyFont="1" applyFill="1" applyBorder="1" applyAlignment="1">
      <alignment horizontal="center" vertical="center" wrapText="1"/>
    </xf>
    <xf numFmtId="172" fontId="1" fillId="8" borderId="83" xfId="3" applyNumberFormat="1" applyFont="1" applyFill="1" applyBorder="1" applyAlignment="1">
      <alignment horizontal="right" vertical="center"/>
    </xf>
    <xf numFmtId="0" fontId="88" fillId="8" borderId="34" xfId="0" applyFont="1" applyFill="1" applyBorder="1" applyAlignment="1">
      <alignment horizontal="center" vertical="center" wrapText="1"/>
    </xf>
    <xf numFmtId="9" fontId="90" fillId="8" borderId="1" xfId="3" applyFont="1" applyFill="1" applyBorder="1" applyAlignment="1">
      <alignment horizontal="center" vertical="center" wrapText="1"/>
    </xf>
    <xf numFmtId="10" fontId="90" fillId="8" borderId="1" xfId="3" applyNumberFormat="1" applyFont="1" applyFill="1" applyBorder="1" applyAlignment="1">
      <alignment horizontal="center" vertical="center" wrapText="1"/>
    </xf>
    <xf numFmtId="172" fontId="95" fillId="8" borderId="28" xfId="0" applyNumberFormat="1" applyFont="1" applyFill="1" applyBorder="1" applyAlignment="1">
      <alignment horizontal="center" vertical="center" wrapText="1"/>
    </xf>
    <xf numFmtId="172" fontId="95" fillId="8" borderId="1" xfId="3" applyNumberFormat="1" applyFont="1" applyFill="1" applyBorder="1" applyAlignment="1">
      <alignment horizontal="center" vertical="center" wrapText="1"/>
    </xf>
    <xf numFmtId="3" fontId="95" fillId="8" borderId="1" xfId="3" applyNumberFormat="1" applyFont="1" applyFill="1" applyBorder="1" applyAlignment="1">
      <alignment horizontal="center" vertical="center"/>
    </xf>
    <xf numFmtId="181" fontId="100" fillId="8" borderId="1" xfId="0" applyNumberFormat="1" applyFont="1" applyFill="1" applyBorder="1" applyAlignment="1">
      <alignment horizontal="center" vertical="center"/>
    </xf>
    <xf numFmtId="3" fontId="100" fillId="8" borderId="1" xfId="0" applyNumberFormat="1" applyFont="1" applyFill="1" applyBorder="1" applyAlignment="1">
      <alignment horizontal="center" vertical="center"/>
    </xf>
    <xf numFmtId="0" fontId="102" fillId="8" borderId="1" xfId="0" applyFont="1" applyFill="1" applyBorder="1" applyAlignment="1">
      <alignment horizontal="center" vertical="center" wrapText="1"/>
    </xf>
    <xf numFmtId="1" fontId="95" fillId="8" borderId="1" xfId="0" applyNumberFormat="1" applyFont="1" applyFill="1" applyBorder="1" applyAlignment="1">
      <alignment horizontal="center" vertical="center"/>
    </xf>
    <xf numFmtId="0" fontId="103" fillId="8" borderId="1" xfId="0" applyFont="1" applyFill="1" applyBorder="1" applyAlignment="1">
      <alignment horizontal="center" vertical="center" wrapText="1"/>
    </xf>
    <xf numFmtId="172" fontId="100" fillId="8" borderId="1" xfId="3" applyNumberFormat="1" applyFont="1" applyFill="1" applyBorder="1" applyAlignment="1">
      <alignment horizontal="center" vertical="center" wrapText="1"/>
    </xf>
    <xf numFmtId="170" fontId="100" fillId="8" borderId="1" xfId="2" applyNumberFormat="1" applyFont="1" applyFill="1" applyBorder="1" applyAlignment="1">
      <alignment horizontal="center" vertical="center" wrapText="1"/>
    </xf>
    <xf numFmtId="3" fontId="100" fillId="8" borderId="1" xfId="2" applyNumberFormat="1" applyFont="1" applyFill="1" applyBorder="1" applyAlignment="1">
      <alignment horizontal="center" vertical="center" wrapText="1"/>
    </xf>
    <xf numFmtId="0" fontId="100" fillId="8" borderId="1" xfId="2" applyNumberFormat="1" applyFont="1" applyFill="1" applyBorder="1" applyAlignment="1">
      <alignment horizontal="center" vertical="center" wrapText="1"/>
    </xf>
    <xf numFmtId="3" fontId="100" fillId="8" borderId="1" xfId="2" quotePrefix="1" applyNumberFormat="1" applyFont="1" applyFill="1" applyBorder="1" applyAlignment="1">
      <alignment horizontal="center" vertical="center" wrapText="1"/>
    </xf>
    <xf numFmtId="3" fontId="102" fillId="8" borderId="1" xfId="0" applyNumberFormat="1" applyFont="1" applyFill="1" applyBorder="1" applyAlignment="1">
      <alignment horizontal="center" vertical="center" wrapText="1"/>
    </xf>
    <xf numFmtId="1" fontId="100" fillId="8" borderId="1" xfId="2" applyNumberFormat="1" applyFont="1" applyFill="1" applyBorder="1" applyAlignment="1">
      <alignment horizontal="center" vertical="center" wrapText="1"/>
    </xf>
    <xf numFmtId="170" fontId="102" fillId="8" borderId="1" xfId="0" applyNumberFormat="1" applyFont="1" applyFill="1" applyBorder="1" applyAlignment="1">
      <alignment horizontal="center" vertical="center" wrapText="1"/>
    </xf>
    <xf numFmtId="0" fontId="102" fillId="8" borderId="34" xfId="0" applyFont="1" applyFill="1" applyBorder="1" applyAlignment="1">
      <alignment horizontal="center" vertical="center" wrapText="1"/>
    </xf>
    <xf numFmtId="0" fontId="68" fillId="8" borderId="0" xfId="0" applyFont="1" applyFill="1"/>
    <xf numFmtId="10" fontId="6" fillId="3" borderId="1" xfId="3" applyNumberFormat="1" applyFont="1" applyFill="1" applyBorder="1" applyAlignment="1">
      <alignment horizontal="center" vertical="center"/>
    </xf>
    <xf numFmtId="10" fontId="6" fillId="3" borderId="92" xfId="3" applyNumberFormat="1" applyFont="1" applyFill="1" applyBorder="1" applyAlignment="1">
      <alignment horizontal="center" vertical="center"/>
    </xf>
    <xf numFmtId="10" fontId="6" fillId="3" borderId="34" xfId="3" applyNumberFormat="1" applyFont="1" applyFill="1" applyBorder="1" applyAlignment="1">
      <alignment horizontal="center" vertical="center"/>
    </xf>
    <xf numFmtId="10" fontId="6" fillId="3" borderId="35" xfId="3" applyNumberFormat="1" applyFont="1" applyFill="1" applyBorder="1" applyAlignment="1">
      <alignment horizontal="center" vertical="center"/>
    </xf>
    <xf numFmtId="3" fontId="6" fillId="3" borderId="1" xfId="0" applyNumberFormat="1" applyFont="1" applyFill="1" applyBorder="1" applyAlignment="1">
      <alignment horizontal="center" vertical="center"/>
    </xf>
    <xf numFmtId="179" fontId="81" fillId="8" borderId="1" xfId="2" applyNumberFormat="1" applyFont="1" applyFill="1" applyBorder="1" applyAlignment="1">
      <alignment horizontal="center" vertical="center" wrapText="1"/>
    </xf>
    <xf numFmtId="174" fontId="81" fillId="8" borderId="1" xfId="2" applyNumberFormat="1" applyFont="1" applyFill="1" applyBorder="1" applyAlignment="1">
      <alignment horizontal="center" vertical="center" wrapText="1"/>
    </xf>
    <xf numFmtId="172" fontId="81" fillId="8" borderId="1" xfId="3" applyNumberFormat="1" applyFont="1" applyFill="1" applyBorder="1" applyAlignment="1">
      <alignment horizontal="center" vertical="center" wrapText="1"/>
    </xf>
    <xf numFmtId="4" fontId="78" fillId="8" borderId="1" xfId="0" applyNumberFormat="1" applyFont="1" applyFill="1" applyBorder="1" applyAlignment="1">
      <alignment horizontal="center" vertical="center" wrapText="1"/>
    </xf>
    <xf numFmtId="10" fontId="90" fillId="8" borderId="1" xfId="0" applyNumberFormat="1" applyFont="1" applyFill="1" applyBorder="1" applyAlignment="1">
      <alignment horizontal="center" vertical="center"/>
    </xf>
    <xf numFmtId="180" fontId="100" fillId="8" borderId="1" xfId="0" applyNumberFormat="1" applyFont="1" applyFill="1" applyBorder="1" applyAlignment="1">
      <alignment horizontal="center" vertical="center"/>
    </xf>
    <xf numFmtId="2" fontId="100" fillId="8" borderId="1" xfId="2" applyNumberFormat="1" applyFont="1" applyFill="1" applyBorder="1" applyAlignment="1">
      <alignment horizontal="center" vertical="center" wrapText="1"/>
    </xf>
    <xf numFmtId="174" fontId="102" fillId="8" borderId="1" xfId="0" applyNumberFormat="1" applyFont="1" applyFill="1" applyBorder="1" applyAlignment="1">
      <alignment horizontal="center" vertical="center" wrapText="1"/>
    </xf>
    <xf numFmtId="3" fontId="107" fillId="8" borderId="1" xfId="0" applyNumberFormat="1" applyFont="1" applyFill="1" applyBorder="1"/>
    <xf numFmtId="3" fontId="110" fillId="8" borderId="1" xfId="0" applyNumberFormat="1" applyFont="1" applyFill="1" applyBorder="1"/>
    <xf numFmtId="172" fontId="11" fillId="0" borderId="19" xfId="3" applyNumberFormat="1" applyFont="1" applyBorder="1" applyAlignment="1">
      <alignment horizontal="center" vertical="center"/>
    </xf>
    <xf numFmtId="172" fontId="11" fillId="0" borderId="1" xfId="3" applyNumberFormat="1" applyFont="1" applyBorder="1" applyAlignment="1">
      <alignment horizontal="center" vertical="center"/>
    </xf>
    <xf numFmtId="172" fontId="11" fillId="0" borderId="92" xfId="3" applyNumberFormat="1" applyFont="1" applyBorder="1" applyAlignment="1">
      <alignment horizontal="center" vertical="center"/>
    </xf>
    <xf numFmtId="172" fontId="6" fillId="3" borderId="19" xfId="3" applyNumberFormat="1" applyFont="1" applyFill="1" applyBorder="1" applyAlignment="1">
      <alignment horizontal="center" vertical="center"/>
    </xf>
    <xf numFmtId="172" fontId="6" fillId="3" borderId="1" xfId="3" applyNumberFormat="1" applyFont="1" applyFill="1" applyBorder="1" applyAlignment="1">
      <alignment horizontal="center" vertical="center"/>
    </xf>
    <xf numFmtId="172" fontId="6" fillId="3" borderId="92" xfId="3" applyNumberFormat="1" applyFont="1" applyFill="1" applyBorder="1" applyAlignment="1">
      <alignment horizontal="center" vertical="center"/>
    </xf>
    <xf numFmtId="172" fontId="11" fillId="0" borderId="84" xfId="3" applyNumberFormat="1" applyFont="1" applyBorder="1" applyAlignment="1">
      <alignment horizontal="center" vertical="center"/>
    </xf>
    <xf numFmtId="172" fontId="11" fillId="0" borderId="34" xfId="3" applyNumberFormat="1" applyFont="1" applyBorder="1" applyAlignment="1">
      <alignment horizontal="center" vertical="center"/>
    </xf>
    <xf numFmtId="172" fontId="11" fillId="0" borderId="35" xfId="3" applyNumberFormat="1" applyFont="1" applyBorder="1" applyAlignment="1">
      <alignment horizontal="center" vertical="center"/>
    </xf>
    <xf numFmtId="172" fontId="6" fillId="3" borderId="84" xfId="3" applyNumberFormat="1" applyFont="1" applyFill="1" applyBorder="1" applyAlignment="1">
      <alignment horizontal="center" vertical="center"/>
    </xf>
    <xf numFmtId="172" fontId="6" fillId="3" borderId="34" xfId="3" applyNumberFormat="1" applyFont="1" applyFill="1" applyBorder="1" applyAlignment="1">
      <alignment horizontal="center" vertical="center"/>
    </xf>
    <xf numFmtId="172" fontId="6" fillId="3" borderId="35" xfId="3" applyNumberFormat="1" applyFont="1" applyFill="1" applyBorder="1" applyAlignment="1">
      <alignment horizontal="center" vertical="center"/>
    </xf>
    <xf numFmtId="0" fontId="8" fillId="3" borderId="14" xfId="0" applyFont="1" applyFill="1" applyBorder="1" applyAlignment="1">
      <alignment horizontal="center" vertical="center"/>
    </xf>
    <xf numFmtId="0" fontId="11" fillId="3" borderId="162" xfId="0" applyFont="1" applyFill="1" applyBorder="1" applyAlignment="1">
      <alignment horizontal="center" vertical="center"/>
    </xf>
    <xf numFmtId="0" fontId="11" fillId="3" borderId="23" xfId="0" applyFont="1" applyFill="1" applyBorder="1" applyAlignment="1">
      <alignment horizontal="center" vertical="center"/>
    </xf>
    <xf numFmtId="1" fontId="11" fillId="3" borderId="23" xfId="0" applyNumberFormat="1" applyFont="1" applyFill="1" applyBorder="1" applyAlignment="1">
      <alignment horizontal="center" vertical="center"/>
    </xf>
    <xf numFmtId="2" fontId="9" fillId="4" borderId="23" xfId="0" applyNumberFormat="1" applyFont="1" applyFill="1" applyBorder="1" applyAlignment="1">
      <alignment horizontal="center" vertical="center"/>
    </xf>
    <xf numFmtId="2" fontId="11" fillId="4" borderId="36" xfId="0" applyNumberFormat="1" applyFont="1" applyFill="1" applyBorder="1" applyAlignment="1">
      <alignment horizontal="center" vertical="center"/>
    </xf>
    <xf numFmtId="3" fontId="11" fillId="3" borderId="23" xfId="0" applyNumberFormat="1" applyFont="1" applyFill="1" applyBorder="1" applyAlignment="1">
      <alignment horizontal="center" vertical="center"/>
    </xf>
    <xf numFmtId="1" fontId="6" fillId="3" borderId="23" xfId="0" applyNumberFormat="1" applyFont="1" applyFill="1" applyBorder="1" applyAlignment="1">
      <alignment horizontal="center" vertical="center"/>
    </xf>
    <xf numFmtId="3" fontId="9" fillId="4" borderId="23" xfId="0" applyNumberFormat="1" applyFont="1" applyFill="1" applyBorder="1" applyAlignment="1">
      <alignment horizontal="center" vertical="center"/>
    </xf>
    <xf numFmtId="178" fontId="11" fillId="3" borderId="162" xfId="0" applyNumberFormat="1" applyFont="1" applyFill="1" applyBorder="1" applyAlignment="1">
      <alignment horizontal="center" vertical="center"/>
    </xf>
    <xf numFmtId="178" fontId="11" fillId="3" borderId="23" xfId="0" applyNumberFormat="1" applyFont="1" applyFill="1" applyBorder="1" applyAlignment="1">
      <alignment horizontal="center" vertical="center"/>
    </xf>
    <xf numFmtId="0" fontId="6" fillId="3" borderId="113" xfId="0" applyFont="1" applyFill="1" applyBorder="1" applyAlignment="1">
      <alignment horizontal="center" vertical="center"/>
    </xf>
    <xf numFmtId="2" fontId="9" fillId="4" borderId="113" xfId="0" applyNumberFormat="1" applyFont="1" applyFill="1" applyBorder="1" applyAlignment="1">
      <alignment horizontal="center" vertical="center"/>
    </xf>
    <xf numFmtId="2" fontId="9" fillId="4" borderId="36" xfId="0" applyNumberFormat="1" applyFont="1" applyFill="1" applyBorder="1" applyAlignment="1">
      <alignment horizontal="center" vertical="center"/>
    </xf>
    <xf numFmtId="3" fontId="9" fillId="4" borderId="162" xfId="0" applyNumberFormat="1" applyFont="1" applyFill="1" applyBorder="1" applyAlignment="1">
      <alignment horizontal="center" vertical="center"/>
    </xf>
    <xf numFmtId="0" fontId="7" fillId="0" borderId="0" xfId="9" applyFont="1" applyAlignment="1">
      <alignment horizontal="left"/>
    </xf>
    <xf numFmtId="3" fontId="53" fillId="0" borderId="71" xfId="9" applyNumberFormat="1" applyFont="1" applyBorder="1" applyAlignment="1">
      <alignment horizontal="center" vertical="top"/>
    </xf>
    <xf numFmtId="0" fontId="53" fillId="0" borderId="167" xfId="9" applyFont="1" applyBorder="1" applyAlignment="1">
      <alignment horizontal="center" vertical="top"/>
    </xf>
    <xf numFmtId="0" fontId="53" fillId="0" borderId="185" xfId="9" applyFont="1" applyBorder="1" applyAlignment="1">
      <alignment horizontal="center" vertical="top"/>
    </xf>
    <xf numFmtId="172" fontId="39" fillId="0" borderId="0" xfId="0" applyNumberFormat="1" applyFont="1"/>
    <xf numFmtId="9" fontId="39" fillId="0" borderId="0" xfId="3" applyFont="1" applyAlignment="1">
      <alignment wrapText="1"/>
    </xf>
    <xf numFmtId="172" fontId="39" fillId="0" borderId="0" xfId="3" applyNumberFormat="1" applyFont="1" applyAlignment="1">
      <alignment wrapText="1"/>
    </xf>
    <xf numFmtId="0" fontId="19" fillId="0" borderId="0" xfId="0" applyFont="1" applyAlignment="1">
      <alignment horizontal="left"/>
    </xf>
    <xf numFmtId="0" fontId="10" fillId="0" borderId="0" xfId="0" applyFont="1" applyAlignment="1">
      <alignment horizontal="left" wrapText="1"/>
    </xf>
    <xf numFmtId="0" fontId="0" fillId="0" borderId="0" xfId="0" applyAlignment="1">
      <alignment horizontal="center" vertical="center"/>
    </xf>
    <xf numFmtId="0" fontId="0" fillId="0" borderId="0" xfId="0" applyAlignment="1">
      <alignment horizontal="left" vertical="center" wrapText="1"/>
    </xf>
    <xf numFmtId="177" fontId="50" fillId="56" borderId="205" xfId="9" applyNumberFormat="1" applyFont="1" applyFill="1" applyBorder="1" applyAlignment="1">
      <alignment horizontal="center" vertical="top"/>
    </xf>
    <xf numFmtId="177" fontId="50" fillId="56" borderId="206" xfId="9" applyNumberFormat="1" applyFont="1" applyFill="1" applyBorder="1" applyAlignment="1">
      <alignment horizontal="center" vertical="top"/>
    </xf>
    <xf numFmtId="177" fontId="50" fillId="56" borderId="191" xfId="9" applyNumberFormat="1" applyFont="1" applyFill="1" applyBorder="1" applyAlignment="1">
      <alignment horizontal="center" vertical="top"/>
    </xf>
    <xf numFmtId="177" fontId="56" fillId="55" borderId="158" xfId="9" applyNumberFormat="1" applyFont="1" applyFill="1" applyBorder="1" applyAlignment="1">
      <alignment horizontal="center" vertical="top"/>
    </xf>
    <xf numFmtId="177" fontId="56" fillId="55" borderId="159" xfId="9" applyNumberFormat="1" applyFont="1" applyFill="1" applyBorder="1" applyAlignment="1">
      <alignment horizontal="center" vertical="top"/>
    </xf>
    <xf numFmtId="0" fontId="56" fillId="56" borderId="20" xfId="9" applyFont="1" applyFill="1" applyBorder="1" applyAlignment="1">
      <alignment horizontal="left" vertical="top"/>
    </xf>
    <xf numFmtId="0" fontId="53" fillId="55" borderId="162" xfId="9" applyFont="1" applyFill="1" applyBorder="1" applyAlignment="1">
      <alignment horizontal="left" vertical="top"/>
    </xf>
    <xf numFmtId="0" fontId="53" fillId="55" borderId="36" xfId="9" applyFont="1" applyFill="1" applyBorder="1" applyAlignment="1">
      <alignment horizontal="left" vertical="top"/>
    </xf>
    <xf numFmtId="0" fontId="53" fillId="55" borderId="23" xfId="9" applyFont="1" applyFill="1" applyBorder="1" applyAlignment="1">
      <alignment horizontal="left" vertical="top"/>
    </xf>
    <xf numFmtId="3" fontId="53" fillId="0" borderId="185" xfId="9" applyNumberFormat="1" applyFont="1" applyBorder="1" applyAlignment="1">
      <alignment horizontal="center" vertical="top"/>
    </xf>
    <xf numFmtId="0" fontId="53" fillId="0" borderId="31" xfId="9" applyFont="1" applyBorder="1" applyAlignment="1">
      <alignment horizontal="center"/>
    </xf>
    <xf numFmtId="0" fontId="6" fillId="0" borderId="90" xfId="0" applyFont="1" applyBorder="1" applyAlignment="1">
      <alignment vertical="center" wrapText="1"/>
    </xf>
    <xf numFmtId="0" fontId="6" fillId="0" borderId="88" xfId="0" applyFont="1" applyBorder="1" applyAlignment="1">
      <alignment vertical="center" wrapText="1"/>
    </xf>
    <xf numFmtId="0" fontId="6" fillId="0" borderId="83" xfId="0" applyFont="1" applyBorder="1" applyAlignment="1">
      <alignment vertical="center" wrapText="1"/>
    </xf>
    <xf numFmtId="0" fontId="6" fillId="0" borderId="86" xfId="0" applyFont="1" applyBorder="1" applyAlignment="1">
      <alignment vertical="center" wrapText="1"/>
    </xf>
    <xf numFmtId="10" fontId="6" fillId="4" borderId="37" xfId="0" applyNumberFormat="1" applyFont="1" applyFill="1" applyBorder="1" applyAlignment="1">
      <alignment horizontal="center" vertical="center" wrapText="1"/>
    </xf>
    <xf numFmtId="172" fontId="6" fillId="4" borderId="84" xfId="3" applyNumberFormat="1" applyFont="1" applyFill="1" applyBorder="1" applyAlignment="1">
      <alignment horizontal="center" vertical="center" wrapText="1"/>
    </xf>
    <xf numFmtId="10" fontId="6" fillId="4" borderId="6" xfId="0" applyNumberFormat="1" applyFont="1" applyFill="1" applyBorder="1" applyAlignment="1">
      <alignment horizontal="center" vertical="center" wrapText="1"/>
    </xf>
    <xf numFmtId="10" fontId="6" fillId="0" borderId="7" xfId="0" applyNumberFormat="1" applyFont="1" applyBorder="1" applyAlignment="1">
      <alignment horizontal="center" vertical="center" wrapText="1"/>
    </xf>
    <xf numFmtId="3" fontId="6" fillId="0" borderId="4" xfId="1" applyNumberFormat="1" applyFont="1" applyFill="1" applyBorder="1" applyAlignment="1">
      <alignment horizontal="center" vertical="center" wrapText="1"/>
    </xf>
    <xf numFmtId="10" fontId="6" fillId="4" borderId="7" xfId="0" applyNumberFormat="1" applyFont="1" applyFill="1" applyBorder="1" applyAlignment="1">
      <alignment horizontal="center" vertical="center" wrapText="1"/>
    </xf>
    <xf numFmtId="176" fontId="6" fillId="4" borderId="4" xfId="1" applyNumberFormat="1" applyFont="1" applyFill="1" applyBorder="1" applyAlignment="1">
      <alignment horizontal="center" vertical="center" wrapText="1"/>
    </xf>
    <xf numFmtId="3" fontId="6" fillId="0" borderId="1" xfId="1" applyNumberFormat="1" applyFont="1" applyFill="1" applyBorder="1" applyAlignment="1">
      <alignment horizontal="center" vertical="center" wrapText="1"/>
    </xf>
    <xf numFmtId="10" fontId="6" fillId="4" borderId="1" xfId="3" applyNumberFormat="1" applyFont="1" applyFill="1" applyBorder="1" applyAlignment="1">
      <alignment horizontal="center" vertical="center" wrapText="1"/>
    </xf>
    <xf numFmtId="172" fontId="6" fillId="4" borderId="34" xfId="3" applyNumberFormat="1" applyFont="1" applyFill="1" applyBorder="1" applyAlignment="1">
      <alignment horizontal="center" vertical="center" wrapText="1"/>
    </xf>
    <xf numFmtId="3" fontId="6" fillId="0" borderId="5" xfId="1" applyNumberFormat="1" applyFont="1" applyFill="1" applyBorder="1" applyAlignment="1">
      <alignment horizontal="center" vertical="center" wrapText="1"/>
    </xf>
    <xf numFmtId="172" fontId="6" fillId="4" borderId="1" xfId="3" applyNumberFormat="1" applyFont="1" applyFill="1" applyBorder="1" applyAlignment="1">
      <alignment horizontal="center" vertical="center" wrapText="1"/>
    </xf>
    <xf numFmtId="172" fontId="6" fillId="4" borderId="8" xfId="3" applyNumberFormat="1" applyFont="1" applyFill="1" applyBorder="1" applyAlignment="1">
      <alignment horizontal="center" vertical="center" wrapText="1"/>
    </xf>
    <xf numFmtId="176" fontId="6" fillId="4" borderId="5" xfId="1" applyNumberFormat="1" applyFont="1" applyFill="1" applyBorder="1" applyAlignment="1">
      <alignment horizontal="center" vertical="center" wrapText="1"/>
    </xf>
    <xf numFmtId="3" fontId="6" fillId="0" borderId="28" xfId="1" applyNumberFormat="1" applyFont="1" applyFill="1" applyBorder="1" applyAlignment="1">
      <alignment horizontal="center" vertical="center" wrapText="1"/>
    </xf>
    <xf numFmtId="9" fontId="6" fillId="4" borderId="1" xfId="3" applyFont="1" applyFill="1" applyBorder="1" applyAlignment="1">
      <alignment horizontal="center" vertical="center" wrapText="1"/>
    </xf>
    <xf numFmtId="176" fontId="6" fillId="4" borderId="1" xfId="1" applyNumberFormat="1" applyFont="1" applyFill="1" applyBorder="1" applyAlignment="1">
      <alignment horizontal="center" vertical="center" wrapText="1"/>
    </xf>
    <xf numFmtId="176" fontId="6" fillId="4" borderId="28" xfId="1" applyNumberFormat="1" applyFont="1" applyFill="1" applyBorder="1" applyAlignment="1">
      <alignment horizontal="center" vertical="center" wrapText="1"/>
    </xf>
    <xf numFmtId="172" fontId="6" fillId="4" borderId="1" xfId="1" applyNumberFormat="1" applyFont="1" applyFill="1" applyBorder="1" applyAlignment="1">
      <alignment horizontal="center" vertical="center" wrapText="1"/>
    </xf>
    <xf numFmtId="172" fontId="6" fillId="4" borderId="8" xfId="1" applyNumberFormat="1" applyFont="1" applyFill="1" applyBorder="1" applyAlignment="1">
      <alignment horizontal="center" vertical="center" wrapText="1"/>
    </xf>
    <xf numFmtId="9" fontId="6" fillId="4" borderId="1" xfId="1" applyNumberFormat="1" applyFont="1" applyFill="1" applyBorder="1" applyAlignment="1">
      <alignment horizontal="center" vertical="center" wrapText="1"/>
    </xf>
    <xf numFmtId="173" fontId="6" fillId="0" borderId="238" xfId="1" applyNumberFormat="1" applyFont="1" applyFill="1" applyBorder="1" applyAlignment="1">
      <alignment horizontal="center" vertical="center" wrapText="1"/>
    </xf>
    <xf numFmtId="173" fontId="6" fillId="0" borderId="234" xfId="1" applyNumberFormat="1" applyFont="1" applyFill="1" applyBorder="1" applyAlignment="1">
      <alignment horizontal="center" vertical="center" wrapText="1"/>
    </xf>
    <xf numFmtId="173" fontId="6" fillId="4" borderId="234" xfId="1" applyNumberFormat="1" applyFont="1" applyFill="1" applyBorder="1" applyAlignment="1">
      <alignment horizontal="center" vertical="center" wrapText="1"/>
    </xf>
    <xf numFmtId="173" fontId="6" fillId="4" borderId="239" xfId="1" applyNumberFormat="1" applyFont="1" applyFill="1" applyBorder="1" applyAlignment="1">
      <alignment horizontal="center" vertical="center" wrapText="1"/>
    </xf>
    <xf numFmtId="173" fontId="6" fillId="4" borderId="237" xfId="1" applyNumberFormat="1" applyFont="1" applyFill="1" applyBorder="1" applyAlignment="1">
      <alignment horizontal="center" vertical="center" wrapText="1"/>
    </xf>
    <xf numFmtId="173" fontId="6" fillId="4" borderId="238" xfId="1" applyNumberFormat="1" applyFont="1" applyFill="1" applyBorder="1" applyAlignment="1">
      <alignment horizontal="center" vertical="center" wrapText="1"/>
    </xf>
    <xf numFmtId="173" fontId="6" fillId="0" borderId="233" xfId="1" applyNumberFormat="1" applyFont="1" applyFill="1" applyBorder="1" applyAlignment="1">
      <alignment horizontal="center" vertical="center" wrapText="1"/>
    </xf>
    <xf numFmtId="173" fontId="6" fillId="4" borderId="67" xfId="1" applyNumberFormat="1" applyFont="1" applyFill="1" applyBorder="1" applyAlignment="1">
      <alignment horizontal="center" vertical="center" wrapText="1"/>
    </xf>
    <xf numFmtId="173" fontId="6" fillId="4" borderId="235" xfId="1" applyNumberFormat="1" applyFont="1" applyFill="1" applyBorder="1" applyAlignment="1">
      <alignment horizontal="center" vertical="center" wrapText="1"/>
    </xf>
    <xf numFmtId="10" fontId="6" fillId="4" borderId="236" xfId="0" applyNumberFormat="1" applyFont="1" applyFill="1" applyBorder="1" applyAlignment="1">
      <alignment horizontal="center" vertical="center" wrapText="1"/>
    </xf>
    <xf numFmtId="0" fontId="6" fillId="0" borderId="226" xfId="0" applyFont="1" applyBorder="1" applyAlignment="1">
      <alignment horizontal="left" vertical="center" wrapText="1"/>
    </xf>
    <xf numFmtId="0" fontId="6" fillId="0" borderId="227" xfId="0" applyFont="1" applyBorder="1" applyAlignment="1">
      <alignment horizontal="left" vertical="center" wrapText="1"/>
    </xf>
    <xf numFmtId="0" fontId="7" fillId="4" borderId="227" xfId="0" applyFont="1" applyFill="1" applyBorder="1" applyAlignment="1">
      <alignment horizontal="left" vertical="center" wrapText="1"/>
    </xf>
    <xf numFmtId="0" fontId="7" fillId="4" borderId="242" xfId="0" applyFont="1" applyFill="1" applyBorder="1" applyAlignment="1">
      <alignment horizontal="left" vertical="center" wrapText="1"/>
    </xf>
    <xf numFmtId="0" fontId="7" fillId="4" borderId="229" xfId="0" applyFont="1" applyFill="1" applyBorder="1" applyAlignment="1">
      <alignment horizontal="left" vertical="center" wrapText="1"/>
    </xf>
    <xf numFmtId="174" fontId="6" fillId="0" borderId="241" xfId="1" applyNumberFormat="1" applyFont="1" applyFill="1" applyBorder="1" applyAlignment="1">
      <alignment horizontal="center" vertical="center" wrapText="1"/>
    </xf>
    <xf numFmtId="174" fontId="6" fillId="0" borderId="53" xfId="1" applyNumberFormat="1" applyFont="1" applyFill="1" applyBorder="1" applyAlignment="1">
      <alignment horizontal="center" vertical="center" wrapText="1"/>
    </xf>
    <xf numFmtId="173" fontId="6" fillId="0" borderId="237" xfId="1" applyNumberFormat="1" applyFont="1" applyFill="1" applyBorder="1" applyAlignment="1">
      <alignment horizontal="center" vertical="center" wrapText="1"/>
    </xf>
    <xf numFmtId="10" fontId="6" fillId="0" borderId="11" xfId="0" applyNumberFormat="1" applyFont="1" applyBorder="1" applyAlignment="1">
      <alignment horizontal="center" vertical="center" wrapText="1"/>
    </xf>
    <xf numFmtId="174" fontId="6" fillId="0" borderId="87" xfId="1" applyNumberFormat="1" applyFont="1" applyFill="1" applyBorder="1" applyAlignment="1">
      <alignment horizontal="center" vertical="center" wrapText="1"/>
    </xf>
    <xf numFmtId="174" fontId="6" fillId="0" borderId="8" xfId="1" applyNumberFormat="1" applyFont="1" applyFill="1" applyBorder="1" applyAlignment="1">
      <alignment horizontal="center" vertical="center" wrapText="1"/>
    </xf>
    <xf numFmtId="173" fontId="6" fillId="0" borderId="244" xfId="1" applyNumberFormat="1" applyFont="1" applyFill="1" applyBorder="1" applyAlignment="1">
      <alignment horizontal="center" vertical="center" wrapText="1"/>
    </xf>
    <xf numFmtId="10" fontId="6" fillId="0" borderId="74" xfId="0" applyNumberFormat="1" applyFont="1" applyBorder="1" applyAlignment="1">
      <alignment horizontal="center" vertical="center" wrapText="1"/>
    </xf>
    <xf numFmtId="3" fontId="6" fillId="0" borderId="245" xfId="1" applyNumberFormat="1" applyFont="1" applyFill="1" applyBorder="1" applyAlignment="1">
      <alignment horizontal="center" vertical="center" wrapText="1"/>
    </xf>
    <xf numFmtId="3" fontId="6" fillId="0" borderId="55" xfId="1" applyNumberFormat="1" applyFont="1" applyFill="1" applyBorder="1" applyAlignment="1">
      <alignment horizontal="center" vertical="center" wrapText="1"/>
    </xf>
    <xf numFmtId="173" fontId="6" fillId="0" borderId="235" xfId="1" applyNumberFormat="1" applyFont="1" applyFill="1" applyBorder="1" applyAlignment="1">
      <alignment horizontal="center" vertical="center" wrapText="1"/>
    </xf>
    <xf numFmtId="10" fontId="6" fillId="0" borderId="112" xfId="0" applyNumberFormat="1" applyFont="1" applyBorder="1" applyAlignment="1">
      <alignment horizontal="center" vertical="center" wrapText="1"/>
    </xf>
    <xf numFmtId="173" fontId="6" fillId="4" borderId="233" xfId="1" applyNumberFormat="1" applyFont="1" applyFill="1" applyBorder="1" applyAlignment="1">
      <alignment horizontal="center" vertical="center" wrapText="1"/>
    </xf>
    <xf numFmtId="3" fontId="6" fillId="0" borderId="53" xfId="1" applyNumberFormat="1" applyFont="1" applyFill="1" applyBorder="1" applyAlignment="1">
      <alignment horizontal="center" vertical="center" wrapText="1"/>
    </xf>
    <xf numFmtId="0" fontId="0" fillId="0" borderId="70" xfId="0" applyBorder="1"/>
    <xf numFmtId="0" fontId="6" fillId="0" borderId="221" xfId="0" applyFont="1" applyBorder="1" applyAlignment="1">
      <alignment horizontal="left" vertical="center" wrapText="1"/>
    </xf>
    <xf numFmtId="0" fontId="7" fillId="4" borderId="226" xfId="0" applyFont="1" applyFill="1" applyBorder="1" applyAlignment="1">
      <alignment horizontal="left" vertical="center" wrapText="1"/>
    </xf>
    <xf numFmtId="0" fontId="7" fillId="0" borderId="227" xfId="0" applyFont="1" applyBorder="1" applyAlignment="1">
      <alignment horizontal="left" vertical="center" wrapText="1"/>
    </xf>
    <xf numFmtId="0" fontId="7" fillId="0" borderId="225" xfId="0" applyFont="1" applyBorder="1" applyAlignment="1">
      <alignment horizontal="left" vertical="center" wrapText="1"/>
    </xf>
    <xf numFmtId="0" fontId="7" fillId="3" borderId="61" xfId="0" applyFont="1" applyFill="1" applyBorder="1" applyAlignment="1">
      <alignment horizontal="left" vertical="center" wrapText="1"/>
    </xf>
    <xf numFmtId="0" fontId="7" fillId="0" borderId="61" xfId="0" applyFont="1" applyBorder="1" applyAlignment="1">
      <alignment horizontal="left" vertical="center" wrapText="1"/>
    </xf>
    <xf numFmtId="0" fontId="7" fillId="0" borderId="64" xfId="0" applyFont="1" applyBorder="1" applyAlignment="1">
      <alignment horizontal="left" vertical="center" wrapText="1"/>
    </xf>
    <xf numFmtId="0" fontId="6" fillId="0" borderId="59" xfId="0" applyFont="1" applyBorder="1" applyAlignment="1">
      <alignment horizontal="left" vertical="center" wrapText="1"/>
    </xf>
    <xf numFmtId="0" fontId="6" fillId="0" borderId="61" xfId="0" applyFont="1" applyBorder="1" applyAlignment="1">
      <alignment horizontal="left" vertical="center" wrapText="1"/>
    </xf>
    <xf numFmtId="0" fontId="7" fillId="4" borderId="61" xfId="0" applyFont="1" applyFill="1" applyBorder="1" applyAlignment="1">
      <alignment horizontal="left" vertical="center" wrapText="1"/>
    </xf>
    <xf numFmtId="0" fontId="7" fillId="54" borderId="160" xfId="0" applyFont="1" applyFill="1" applyBorder="1" applyAlignment="1">
      <alignment horizontal="center" vertical="center" wrapText="1"/>
    </xf>
    <xf numFmtId="0" fontId="7" fillId="54" borderId="93" xfId="0" applyFont="1" applyFill="1" applyBorder="1" applyAlignment="1">
      <alignment horizontal="center" vertical="center" wrapText="1"/>
    </xf>
    <xf numFmtId="3" fontId="7" fillId="54" borderId="160" xfId="0" applyNumberFormat="1" applyFont="1" applyFill="1" applyBorder="1" applyAlignment="1">
      <alignment horizontal="center" vertical="center" wrapText="1"/>
    </xf>
    <xf numFmtId="0" fontId="7" fillId="54" borderId="97" xfId="0" applyFont="1" applyFill="1" applyBorder="1" applyAlignment="1">
      <alignment horizontal="center" vertical="center" wrapText="1"/>
    </xf>
    <xf numFmtId="173" fontId="6" fillId="61" borderId="28" xfId="1" applyNumberFormat="1" applyFont="1" applyFill="1" applyBorder="1" applyAlignment="1">
      <alignment horizontal="right" vertical="center" wrapText="1"/>
    </xf>
    <xf numFmtId="3" fontId="7" fillId="62" borderId="160" xfId="0" applyNumberFormat="1" applyFont="1" applyFill="1" applyBorder="1" applyAlignment="1">
      <alignment horizontal="right" vertical="center" wrapText="1"/>
    </xf>
    <xf numFmtId="173" fontId="6" fillId="0" borderId="3" xfId="1" applyNumberFormat="1" applyFont="1" applyFill="1" applyBorder="1" applyAlignment="1">
      <alignment horizontal="right" vertical="center" wrapText="1"/>
    </xf>
    <xf numFmtId="3" fontId="6" fillId="0" borderId="129" xfId="0" applyNumberFormat="1" applyFont="1" applyBorder="1" applyAlignment="1">
      <alignment horizontal="right" vertical="center" wrapText="1"/>
    </xf>
    <xf numFmtId="3" fontId="7" fillId="54" borderId="43" xfId="0" applyNumberFormat="1" applyFont="1" applyFill="1" applyBorder="1" applyAlignment="1">
      <alignment horizontal="right" vertical="center" wrapText="1"/>
    </xf>
    <xf numFmtId="173" fontId="6" fillId="0" borderId="38" xfId="1" applyNumberFormat="1" applyFont="1" applyFill="1" applyBorder="1" applyAlignment="1">
      <alignment horizontal="right" vertical="center" wrapText="1"/>
    </xf>
    <xf numFmtId="173" fontId="26" fillId="0" borderId="6" xfId="1" applyNumberFormat="1" applyFont="1" applyFill="1" applyBorder="1" applyAlignment="1">
      <alignment horizontal="right" vertical="center" wrapText="1"/>
    </xf>
    <xf numFmtId="173" fontId="26" fillId="0" borderId="3" xfId="1" applyNumberFormat="1" applyFont="1" applyFill="1" applyBorder="1" applyAlignment="1">
      <alignment horizontal="right" vertical="center" wrapText="1"/>
    </xf>
    <xf numFmtId="173" fontId="6" fillId="0" borderId="11" xfId="1" applyNumberFormat="1" applyFont="1" applyFill="1" applyBorder="1" applyAlignment="1">
      <alignment horizontal="right" vertical="center" wrapText="1"/>
    </xf>
    <xf numFmtId="173" fontId="6" fillId="61" borderId="40" xfId="1" applyNumberFormat="1" applyFont="1" applyFill="1" applyBorder="1" applyAlignment="1">
      <alignment horizontal="right" vertical="center" wrapText="1"/>
    </xf>
    <xf numFmtId="173" fontId="6" fillId="61" borderId="42" xfId="1" applyNumberFormat="1" applyFont="1" applyFill="1" applyBorder="1" applyAlignment="1">
      <alignment horizontal="right" vertical="center" wrapText="1"/>
    </xf>
    <xf numFmtId="3" fontId="7" fillId="62" borderId="97" xfId="0" applyNumberFormat="1" applyFont="1" applyFill="1" applyBorder="1" applyAlignment="1">
      <alignment horizontal="right" vertical="center" wrapText="1"/>
    </xf>
    <xf numFmtId="173" fontId="6" fillId="61" borderId="34" xfId="1" applyNumberFormat="1" applyFont="1" applyFill="1" applyBorder="1" applyAlignment="1">
      <alignment horizontal="right" vertical="center" wrapText="1"/>
    </xf>
    <xf numFmtId="173" fontId="6" fillId="61" borderId="35" xfId="1" applyNumberFormat="1" applyFont="1" applyFill="1" applyBorder="1" applyAlignment="1">
      <alignment horizontal="right" vertical="center" wrapText="1"/>
    </xf>
    <xf numFmtId="3" fontId="7" fillId="62" borderId="158" xfId="0" applyNumberFormat="1" applyFont="1" applyFill="1" applyBorder="1" applyAlignment="1">
      <alignment horizontal="right" vertical="center" wrapText="1"/>
    </xf>
    <xf numFmtId="173" fontId="6" fillId="61" borderId="158" xfId="1" applyNumberFormat="1" applyFont="1" applyFill="1" applyBorder="1" applyAlignment="1">
      <alignment horizontal="right" vertical="center" wrapText="1"/>
    </xf>
    <xf numFmtId="173" fontId="6" fillId="61" borderId="157" xfId="1" applyNumberFormat="1" applyFont="1" applyFill="1" applyBorder="1" applyAlignment="1">
      <alignment horizontal="right" vertical="center" wrapText="1"/>
    </xf>
    <xf numFmtId="173" fontId="6" fillId="61" borderId="29" xfId="1" applyNumberFormat="1" applyFont="1" applyFill="1" applyBorder="1" applyAlignment="1">
      <alignment horizontal="right" vertical="center" wrapText="1"/>
    </xf>
    <xf numFmtId="173" fontId="6" fillId="61" borderId="99" xfId="1" applyNumberFormat="1" applyFont="1" applyFill="1" applyBorder="1" applyAlignment="1">
      <alignment horizontal="right" vertical="center" wrapText="1"/>
    </xf>
    <xf numFmtId="3" fontId="7" fillId="62" borderId="157" xfId="0" applyNumberFormat="1" applyFont="1" applyFill="1" applyBorder="1" applyAlignment="1">
      <alignment horizontal="right" vertical="center" wrapText="1"/>
    </xf>
    <xf numFmtId="0" fontId="7" fillId="54" borderId="195" xfId="0" applyFont="1" applyFill="1" applyBorder="1" applyAlignment="1">
      <alignment horizontal="center" vertical="center" wrapText="1"/>
    </xf>
    <xf numFmtId="173" fontId="6" fillId="61" borderId="107" xfId="1" applyNumberFormat="1" applyFont="1" applyFill="1" applyBorder="1" applyAlignment="1">
      <alignment horizontal="right" vertical="center" wrapText="1"/>
    </xf>
    <xf numFmtId="173" fontId="6" fillId="61" borderId="188" xfId="1" applyNumberFormat="1" applyFont="1" applyFill="1" applyBorder="1" applyAlignment="1">
      <alignment horizontal="right" vertical="center" wrapText="1"/>
    </xf>
    <xf numFmtId="3" fontId="7" fillId="62" borderId="195" xfId="0" applyNumberFormat="1" applyFont="1" applyFill="1" applyBorder="1" applyAlignment="1">
      <alignment horizontal="right" vertical="center" wrapText="1"/>
    </xf>
    <xf numFmtId="3" fontId="7" fillId="62" borderId="193" xfId="0" applyNumberFormat="1" applyFont="1" applyFill="1" applyBorder="1" applyAlignment="1">
      <alignment horizontal="right" vertical="center" wrapText="1"/>
    </xf>
    <xf numFmtId="172" fontId="10" fillId="0" borderId="0" xfId="3" applyNumberFormat="1" applyFont="1" applyFill="1" applyBorder="1" applyAlignment="1">
      <alignment horizontal="center" vertical="center"/>
    </xf>
    <xf numFmtId="0" fontId="53" fillId="55" borderId="113" xfId="9" applyFont="1" applyFill="1" applyBorder="1" applyAlignment="1">
      <alignment horizontal="left" vertical="top"/>
    </xf>
    <xf numFmtId="3" fontId="53" fillId="0" borderId="30" xfId="9" applyNumberFormat="1" applyFont="1" applyBorder="1" applyAlignment="1">
      <alignment horizontal="center" vertical="top"/>
    </xf>
    <xf numFmtId="0" fontId="6" fillId="0" borderId="0" xfId="9" applyFont="1"/>
    <xf numFmtId="0" fontId="140" fillId="0" borderId="0" xfId="0" applyFont="1" applyAlignment="1">
      <alignment horizontal="left" vertical="center" wrapText="1"/>
    </xf>
    <xf numFmtId="0" fontId="6" fillId="0" borderId="31" xfId="0" applyFont="1" applyBorder="1"/>
    <xf numFmtId="0" fontId="55" fillId="0" borderId="0" xfId="9" applyFont="1" applyAlignment="1">
      <alignment vertical="center"/>
    </xf>
    <xf numFmtId="0" fontId="135" fillId="0" borderId="0" xfId="0" applyFont="1" applyAlignment="1">
      <alignment horizontal="left" vertical="center" wrapText="1"/>
    </xf>
    <xf numFmtId="3" fontId="53" fillId="0" borderId="0" xfId="9" applyNumberFormat="1" applyFont="1" applyAlignment="1">
      <alignment horizontal="center" vertical="top"/>
    </xf>
    <xf numFmtId="0" fontId="53" fillId="0" borderId="30" xfId="9" applyFont="1" applyBorder="1" applyAlignment="1">
      <alignment horizontal="center" vertical="top"/>
    </xf>
    <xf numFmtId="177" fontId="50" fillId="56" borderId="203" xfId="9" applyNumberFormat="1" applyFont="1" applyFill="1" applyBorder="1" applyAlignment="1">
      <alignment horizontal="center" vertical="top"/>
    </xf>
    <xf numFmtId="177" fontId="50" fillId="56" borderId="272" xfId="9" applyNumberFormat="1" applyFont="1" applyFill="1" applyBorder="1" applyAlignment="1">
      <alignment horizontal="center" vertical="top"/>
    </xf>
    <xf numFmtId="177" fontId="50" fillId="56" borderId="273" xfId="9" applyNumberFormat="1" applyFont="1" applyFill="1" applyBorder="1" applyAlignment="1">
      <alignment horizontal="center" vertical="top"/>
    </xf>
    <xf numFmtId="177" fontId="50" fillId="56" borderId="274" xfId="9" applyNumberFormat="1" applyFont="1" applyFill="1" applyBorder="1" applyAlignment="1">
      <alignment horizontal="center" vertical="top"/>
    </xf>
    <xf numFmtId="177" fontId="50" fillId="56" borderId="275" xfId="9" applyNumberFormat="1" applyFont="1" applyFill="1" applyBorder="1" applyAlignment="1">
      <alignment horizontal="center" vertical="top"/>
    </xf>
    <xf numFmtId="3" fontId="53" fillId="0" borderId="276" xfId="9" applyNumberFormat="1" applyFont="1" applyBorder="1" applyAlignment="1">
      <alignment horizontal="center" vertical="top"/>
    </xf>
    <xf numFmtId="3" fontId="53" fillId="0" borderId="277" xfId="9" applyNumberFormat="1" applyFont="1" applyBorder="1" applyAlignment="1">
      <alignment horizontal="center" vertical="top"/>
    </xf>
    <xf numFmtId="3" fontId="53" fillId="0" borderId="252" xfId="9" applyNumberFormat="1" applyFont="1" applyBorder="1" applyAlignment="1">
      <alignment horizontal="center" vertical="top"/>
    </xf>
    <xf numFmtId="3" fontId="53" fillId="0" borderId="253" xfId="9" applyNumberFormat="1" applyFont="1" applyBorder="1" applyAlignment="1">
      <alignment horizontal="center" vertical="top"/>
    </xf>
    <xf numFmtId="3" fontId="53" fillId="0" borderId="261" xfId="9" applyNumberFormat="1" applyFont="1" applyBorder="1" applyAlignment="1">
      <alignment horizontal="center" vertical="top"/>
    </xf>
    <xf numFmtId="177" fontId="56" fillId="55" borderId="272" xfId="9" applyNumberFormat="1" applyFont="1" applyFill="1" applyBorder="1" applyAlignment="1">
      <alignment horizontal="center" vertical="top"/>
    </xf>
    <xf numFmtId="177" fontId="56" fillId="55" borderId="273" xfId="9" applyNumberFormat="1" applyFont="1" applyFill="1" applyBorder="1" applyAlignment="1">
      <alignment horizontal="center" vertical="top"/>
    </xf>
    <xf numFmtId="3" fontId="53" fillId="0" borderId="281" xfId="9" applyNumberFormat="1" applyFont="1" applyBorder="1" applyAlignment="1">
      <alignment horizontal="center" vertical="top"/>
    </xf>
    <xf numFmtId="3" fontId="53" fillId="0" borderId="248" xfId="9" applyNumberFormat="1" applyFont="1" applyBorder="1" applyAlignment="1">
      <alignment horizontal="center" vertical="top"/>
    </xf>
    <xf numFmtId="3" fontId="53" fillId="0" borderId="283" xfId="9" applyNumberFormat="1" applyFont="1" applyBorder="1" applyAlignment="1">
      <alignment horizontal="center" vertical="top"/>
    </xf>
    <xf numFmtId="177" fontId="56" fillId="55" borderId="104" xfId="9" applyNumberFormat="1" applyFont="1" applyFill="1" applyBorder="1" applyAlignment="1">
      <alignment horizontal="center" vertical="top"/>
    </xf>
    <xf numFmtId="177" fontId="56" fillId="55" borderId="275" xfId="9" applyNumberFormat="1" applyFont="1" applyFill="1" applyBorder="1" applyAlignment="1">
      <alignment horizontal="center" vertical="top"/>
    </xf>
    <xf numFmtId="0" fontId="53" fillId="0" borderId="13" xfId="9" applyFont="1" applyBorder="1" applyAlignment="1">
      <alignment horizontal="center" vertical="top"/>
    </xf>
    <xf numFmtId="0" fontId="53" fillId="0" borderId="2" xfId="9" applyFont="1" applyBorder="1" applyAlignment="1">
      <alignment horizontal="center" vertical="top"/>
    </xf>
    <xf numFmtId="0" fontId="53" fillId="0" borderId="72" xfId="9" applyFont="1" applyBorder="1" applyAlignment="1">
      <alignment horizontal="center" vertical="top"/>
    </xf>
    <xf numFmtId="0" fontId="55" fillId="0" borderId="281" xfId="9" applyFont="1" applyBorder="1" applyAlignment="1">
      <alignment horizontal="center" vertical="center"/>
    </xf>
    <xf numFmtId="0" fontId="55" fillId="0" borderId="249" xfId="9" applyFont="1" applyBorder="1" applyAlignment="1">
      <alignment horizontal="center" vertical="center"/>
    </xf>
    <xf numFmtId="0" fontId="55" fillId="0" borderId="260" xfId="9" applyFont="1" applyBorder="1" applyAlignment="1">
      <alignment horizontal="center" vertical="center"/>
    </xf>
    <xf numFmtId="0" fontId="7" fillId="0" borderId="9" xfId="9" applyFont="1" applyBorder="1" applyAlignment="1">
      <alignment horizontal="center" vertical="top"/>
    </xf>
    <xf numFmtId="3" fontId="12" fillId="3" borderId="19" xfId="0" applyNumberFormat="1" applyFont="1" applyFill="1" applyBorder="1" applyAlignment="1">
      <alignment horizontal="center" vertical="center"/>
    </xf>
    <xf numFmtId="3" fontId="12" fillId="3" borderId="1" xfId="0" applyNumberFormat="1" applyFont="1" applyFill="1" applyBorder="1" applyAlignment="1">
      <alignment horizontal="center" vertical="center"/>
    </xf>
    <xf numFmtId="171" fontId="12" fillId="3" borderId="1" xfId="0" applyNumberFormat="1" applyFont="1" applyFill="1" applyBorder="1" applyAlignment="1">
      <alignment horizontal="center" vertical="center"/>
    </xf>
    <xf numFmtId="2" fontId="12" fillId="3" borderId="92" xfId="0" applyNumberFormat="1" applyFont="1" applyFill="1" applyBorder="1" applyAlignment="1">
      <alignment horizontal="center" vertical="center"/>
    </xf>
    <xf numFmtId="3" fontId="12" fillId="3" borderId="84" xfId="0" applyNumberFormat="1" applyFont="1" applyFill="1" applyBorder="1" applyAlignment="1">
      <alignment horizontal="center" vertical="center"/>
    </xf>
    <xf numFmtId="3" fontId="12" fillId="3" borderId="34" xfId="0" applyNumberFormat="1" applyFont="1" applyFill="1" applyBorder="1" applyAlignment="1">
      <alignment horizontal="center" vertical="center"/>
    </xf>
    <xf numFmtId="171" fontId="12" fillId="3" borderId="34" xfId="0" applyNumberFormat="1" applyFont="1" applyFill="1" applyBorder="1" applyAlignment="1">
      <alignment horizontal="center" vertical="center"/>
    </xf>
    <xf numFmtId="2" fontId="12" fillId="3" borderId="35" xfId="0" applyNumberFormat="1" applyFont="1" applyFill="1" applyBorder="1" applyAlignment="1">
      <alignment horizontal="center" vertical="center"/>
    </xf>
    <xf numFmtId="9" fontId="12" fillId="3" borderId="1" xfId="0" applyNumberFormat="1" applyFont="1" applyFill="1" applyBorder="1" applyAlignment="1">
      <alignment horizontal="center" vertical="center"/>
    </xf>
    <xf numFmtId="9" fontId="12" fillId="3" borderId="34" xfId="0" applyNumberFormat="1" applyFont="1" applyFill="1" applyBorder="1" applyAlignment="1">
      <alignment horizontal="center" vertical="center"/>
    </xf>
    <xf numFmtId="0" fontId="12" fillId="3" borderId="19" xfId="0" applyFont="1" applyFill="1" applyBorder="1" applyAlignment="1">
      <alignment horizontal="center" vertical="center"/>
    </xf>
    <xf numFmtId="0" fontId="12" fillId="3" borderId="84" xfId="0" applyFont="1" applyFill="1" applyBorder="1" applyAlignment="1">
      <alignment horizontal="center" vertical="center"/>
    </xf>
    <xf numFmtId="3" fontId="53" fillId="3" borderId="15" xfId="9" applyNumberFormat="1" applyFont="1" applyFill="1" applyBorder="1" applyAlignment="1">
      <alignment horizontal="center" vertical="top"/>
    </xf>
    <xf numFmtId="3" fontId="53" fillId="3" borderId="82" xfId="9" applyNumberFormat="1" applyFont="1" applyFill="1" applyBorder="1" applyAlignment="1">
      <alignment horizontal="center" vertical="top"/>
    </xf>
    <xf numFmtId="3" fontId="53" fillId="3" borderId="5" xfId="9" applyNumberFormat="1" applyFont="1" applyFill="1" applyBorder="1" applyAlignment="1">
      <alignment horizontal="center" vertical="top"/>
    </xf>
    <xf numFmtId="3" fontId="53" fillId="3" borderId="31" xfId="9" applyNumberFormat="1" applyFont="1" applyFill="1" applyBorder="1" applyAlignment="1">
      <alignment horizontal="center" vertical="top"/>
    </xf>
    <xf numFmtId="3" fontId="53" fillId="3" borderId="32" xfId="9" applyNumberFormat="1" applyFont="1" applyFill="1" applyBorder="1" applyAlignment="1">
      <alignment horizontal="center" vertical="top"/>
    </xf>
    <xf numFmtId="3" fontId="53" fillId="3" borderId="252" xfId="9" applyNumberFormat="1" applyFont="1" applyFill="1" applyBorder="1" applyAlignment="1">
      <alignment horizontal="center" vertical="top"/>
    </xf>
    <xf numFmtId="3" fontId="53" fillId="3" borderId="276" xfId="9" applyNumberFormat="1" applyFont="1" applyFill="1" applyBorder="1" applyAlignment="1">
      <alignment horizontal="center" vertical="top"/>
    </xf>
    <xf numFmtId="3" fontId="53" fillId="3" borderId="40" xfId="9" applyNumberFormat="1" applyFont="1" applyFill="1" applyBorder="1" applyAlignment="1">
      <alignment horizontal="center" vertical="top"/>
    </xf>
    <xf numFmtId="3" fontId="53" fillId="3" borderId="13" xfId="9" applyNumberFormat="1" applyFont="1" applyFill="1" applyBorder="1" applyAlignment="1">
      <alignment horizontal="center" vertical="top"/>
    </xf>
    <xf numFmtId="3" fontId="53" fillId="3" borderId="12" xfId="9" applyNumberFormat="1" applyFont="1" applyFill="1" applyBorder="1" applyAlignment="1">
      <alignment horizontal="center" vertical="top"/>
    </xf>
    <xf numFmtId="3" fontId="53" fillId="3" borderId="28" xfId="9" applyNumberFormat="1" applyFont="1" applyFill="1" applyBorder="1" applyAlignment="1">
      <alignment horizontal="center" vertical="top"/>
    </xf>
    <xf numFmtId="3" fontId="53" fillId="3" borderId="277" xfId="9" applyNumberFormat="1" applyFont="1" applyFill="1" applyBorder="1" applyAlignment="1">
      <alignment horizontal="center" vertical="top"/>
    </xf>
    <xf numFmtId="3" fontId="53" fillId="3" borderId="268" xfId="9" applyNumberFormat="1" applyFont="1" applyFill="1" applyBorder="1" applyAlignment="1">
      <alignment horizontal="center" vertical="top"/>
    </xf>
    <xf numFmtId="3" fontId="53" fillId="3" borderId="285" xfId="9" applyNumberFormat="1" applyFont="1" applyFill="1" applyBorder="1" applyAlignment="1">
      <alignment horizontal="center" vertical="top"/>
    </xf>
    <xf numFmtId="3" fontId="53" fillId="3" borderId="286" xfId="9" applyNumberFormat="1" applyFont="1" applyFill="1" applyBorder="1" applyAlignment="1">
      <alignment horizontal="center" vertical="top"/>
    </xf>
    <xf numFmtId="3" fontId="53" fillId="3" borderId="287" xfId="9" applyNumberFormat="1" applyFont="1" applyFill="1" applyBorder="1" applyAlignment="1">
      <alignment horizontal="center" vertical="top"/>
    </xf>
    <xf numFmtId="3" fontId="53" fillId="3" borderId="269" xfId="9" applyNumberFormat="1" applyFont="1" applyFill="1" applyBorder="1" applyAlignment="1">
      <alignment horizontal="center" vertical="top"/>
    </xf>
    <xf numFmtId="3" fontId="53" fillId="3" borderId="270" xfId="9" applyNumberFormat="1" applyFont="1" applyFill="1" applyBorder="1" applyAlignment="1">
      <alignment horizontal="center" vertical="top"/>
    </xf>
    <xf numFmtId="3" fontId="53" fillId="3" borderId="288" xfId="9" applyNumberFormat="1" applyFont="1" applyFill="1" applyBorder="1" applyAlignment="1">
      <alignment horizontal="center" vertical="top"/>
    </xf>
    <xf numFmtId="3" fontId="53" fillId="3" borderId="289" xfId="9" applyNumberFormat="1" applyFont="1" applyFill="1" applyBorder="1" applyAlignment="1">
      <alignment horizontal="center" vertical="top"/>
    </xf>
    <xf numFmtId="3" fontId="6" fillId="3" borderId="7" xfId="9" applyNumberFormat="1" applyFont="1" applyFill="1" applyBorder="1" applyAlignment="1">
      <alignment horizontal="center" vertical="top"/>
    </xf>
    <xf numFmtId="3" fontId="6" fillId="3" borderId="293" xfId="9" applyNumberFormat="1" applyFont="1" applyFill="1" applyBorder="1" applyAlignment="1">
      <alignment horizontal="center" vertical="top"/>
    </xf>
    <xf numFmtId="3" fontId="6" fillId="3" borderId="3" xfId="9" applyNumberFormat="1" applyFont="1" applyFill="1" applyBorder="1" applyAlignment="1">
      <alignment horizontal="center" vertical="top"/>
    </xf>
    <xf numFmtId="3" fontId="6" fillId="3" borderId="250" xfId="9" applyNumberFormat="1" applyFont="1" applyFill="1" applyBorder="1" applyAlignment="1">
      <alignment horizontal="center" vertical="top"/>
    </xf>
    <xf numFmtId="3" fontId="6" fillId="3" borderId="294" xfId="9" applyNumberFormat="1" applyFont="1" applyFill="1" applyBorder="1" applyAlignment="1">
      <alignment horizontal="center" vertical="top"/>
    </xf>
    <xf numFmtId="0" fontId="11" fillId="3" borderId="40" xfId="0" applyFont="1" applyFill="1" applyBorder="1" applyAlignment="1">
      <alignment horizontal="center" vertical="center"/>
    </xf>
    <xf numFmtId="1" fontId="11" fillId="3" borderId="92" xfId="0" applyNumberFormat="1" applyFont="1" applyFill="1" applyBorder="1" applyAlignment="1">
      <alignment horizontal="center" vertical="center"/>
    </xf>
    <xf numFmtId="2" fontId="9" fillId="4" borderId="92" xfId="0" applyNumberFormat="1" applyFont="1" applyFill="1" applyBorder="1" applyAlignment="1">
      <alignment horizontal="center" vertical="center"/>
    </xf>
    <xf numFmtId="2" fontId="6" fillId="4" borderId="35" xfId="0" applyNumberFormat="1" applyFont="1" applyFill="1" applyBorder="1" applyAlignment="1">
      <alignment horizontal="center" vertical="center"/>
    </xf>
    <xf numFmtId="1" fontId="6" fillId="3" borderId="42" xfId="0" applyNumberFormat="1" applyFont="1" applyFill="1" applyBorder="1" applyAlignment="1">
      <alignment horizontal="center" vertical="center"/>
    </xf>
    <xf numFmtId="1" fontId="6" fillId="3" borderId="92" xfId="0" applyNumberFormat="1" applyFont="1" applyFill="1" applyBorder="1" applyAlignment="1">
      <alignment horizontal="center" vertical="center"/>
    </xf>
    <xf numFmtId="2" fontId="6" fillId="4" borderId="94" xfId="0" applyNumberFormat="1" applyFont="1" applyFill="1" applyBorder="1" applyAlignment="1">
      <alignment horizontal="center" vertical="center"/>
    </xf>
    <xf numFmtId="0" fontId="6" fillId="3" borderId="40" xfId="0" applyFont="1" applyFill="1" applyBorder="1" applyAlignment="1">
      <alignment horizontal="center" vertical="center"/>
    </xf>
    <xf numFmtId="0" fontId="6" fillId="3" borderId="92" xfId="0" applyFont="1" applyFill="1" applyBorder="1" applyAlignment="1">
      <alignment horizontal="center" vertical="center"/>
    </xf>
    <xf numFmtId="0" fontId="6" fillId="3" borderId="94" xfId="0" applyFont="1" applyFill="1" applyBorder="1" applyAlignment="1">
      <alignment horizontal="center" vertical="center"/>
    </xf>
    <xf numFmtId="2" fontId="9" fillId="4" borderId="94" xfId="0" applyNumberFormat="1" applyFont="1" applyFill="1" applyBorder="1" applyAlignment="1">
      <alignment horizontal="center" vertical="center"/>
    </xf>
    <xf numFmtId="0" fontId="6" fillId="4" borderId="35" xfId="0" applyFont="1" applyFill="1" applyBorder="1" applyAlignment="1">
      <alignment horizontal="center" vertical="center"/>
    </xf>
    <xf numFmtId="0" fontId="6" fillId="4" borderId="42" xfId="0" applyFont="1" applyFill="1" applyBorder="1" applyAlignment="1">
      <alignment horizontal="center" vertical="center"/>
    </xf>
    <xf numFmtId="0" fontId="6" fillId="4" borderId="92" xfId="0" applyFont="1" applyFill="1" applyBorder="1" applyAlignment="1">
      <alignment vertical="center"/>
    </xf>
    <xf numFmtId="2" fontId="11" fillId="4" borderId="92" xfId="0" applyNumberFormat="1" applyFont="1" applyFill="1" applyBorder="1" applyAlignment="1">
      <alignment horizontal="center" vertical="center"/>
    </xf>
    <xf numFmtId="172" fontId="6" fillId="0" borderId="1" xfId="0" applyNumberFormat="1" applyFont="1" applyBorder="1" applyAlignment="1">
      <alignment horizontal="center" vertical="center"/>
    </xf>
    <xf numFmtId="172" fontId="6" fillId="3" borderId="1" xfId="0" applyNumberFormat="1" applyFont="1" applyFill="1" applyBorder="1" applyAlignment="1">
      <alignment horizontal="center" vertical="center"/>
    </xf>
    <xf numFmtId="172" fontId="53" fillId="0" borderId="28" xfId="9" applyNumberFormat="1" applyFont="1" applyBorder="1" applyAlignment="1">
      <alignment horizontal="center" vertical="top"/>
    </xf>
    <xf numFmtId="172" fontId="53" fillId="0" borderId="5" xfId="9" applyNumberFormat="1" applyFont="1" applyBorder="1" applyAlignment="1">
      <alignment horizontal="center" vertical="top"/>
    </xf>
    <xf numFmtId="172" fontId="53" fillId="0" borderId="1" xfId="9" applyNumberFormat="1" applyFont="1" applyBorder="1" applyAlignment="1">
      <alignment horizontal="center" vertical="top"/>
    </xf>
    <xf numFmtId="182" fontId="6" fillId="0" borderId="3" xfId="0" applyNumberFormat="1" applyFont="1" applyBorder="1" applyAlignment="1">
      <alignment horizontal="center" vertical="center"/>
    </xf>
    <xf numFmtId="182" fontId="6" fillId="0" borderId="0" xfId="0" applyNumberFormat="1" applyFont="1" applyAlignment="1">
      <alignment horizontal="center" vertical="center"/>
    </xf>
    <xf numFmtId="182" fontId="6" fillId="3" borderId="6" xfId="0" applyNumberFormat="1" applyFont="1" applyFill="1" applyBorder="1" applyAlignment="1">
      <alignment horizontal="center" vertical="center"/>
    </xf>
    <xf numFmtId="182" fontId="6" fillId="0" borderId="2" xfId="0" applyNumberFormat="1" applyFont="1" applyBorder="1" applyAlignment="1">
      <alignment horizontal="center" vertical="center"/>
    </xf>
    <xf numFmtId="182" fontId="6" fillId="0" borderId="124" xfId="0" applyNumberFormat="1" applyFont="1" applyBorder="1" applyAlignment="1">
      <alignment horizontal="center" vertical="center"/>
    </xf>
    <xf numFmtId="182" fontId="6" fillId="0" borderId="18" xfId="0" applyNumberFormat="1" applyFont="1" applyBorder="1" applyAlignment="1">
      <alignment horizontal="center" vertical="center"/>
    </xf>
    <xf numFmtId="182" fontId="6" fillId="0" borderId="118" xfId="0" applyNumberFormat="1" applyFont="1" applyBorder="1" applyAlignment="1">
      <alignment horizontal="center" vertical="center"/>
    </xf>
    <xf numFmtId="182" fontId="6" fillId="3" borderId="3" xfId="0" applyNumberFormat="1" applyFont="1" applyFill="1" applyBorder="1" applyAlignment="1">
      <alignment horizontal="center" vertical="center"/>
    </xf>
    <xf numFmtId="182" fontId="6" fillId="0" borderId="11" xfId="0" applyNumberFormat="1" applyFont="1" applyBorder="1" applyAlignment="1">
      <alignment horizontal="center" vertical="center"/>
    </xf>
    <xf numFmtId="182" fontId="6" fillId="0" borderId="125" xfId="0" applyNumberFormat="1" applyFont="1" applyBorder="1" applyAlignment="1">
      <alignment horizontal="center" vertical="center"/>
    </xf>
    <xf numFmtId="182" fontId="6" fillId="0" borderId="126" xfId="0" applyNumberFormat="1" applyFont="1" applyBorder="1" applyAlignment="1">
      <alignment horizontal="center" vertical="center"/>
    </xf>
    <xf numFmtId="182" fontId="6" fillId="0" borderId="43" xfId="0" applyNumberFormat="1" applyFont="1" applyBorder="1" applyAlignment="1">
      <alignment horizontal="center" vertical="center"/>
    </xf>
    <xf numFmtId="182" fontId="6" fillId="0" borderId="119" xfId="0" applyNumberFormat="1" applyFont="1" applyBorder="1" applyAlignment="1">
      <alignment horizontal="center" vertical="center"/>
    </xf>
    <xf numFmtId="182" fontId="6" fillId="0" borderId="129" xfId="0" applyNumberFormat="1" applyFont="1" applyBorder="1" applyAlignment="1">
      <alignment horizontal="center" vertical="center"/>
    </xf>
    <xf numFmtId="0" fontId="18" fillId="2" borderId="7" xfId="0" applyFont="1" applyFill="1" applyBorder="1" applyAlignment="1">
      <alignment horizontal="center"/>
    </xf>
    <xf numFmtId="0" fontId="18" fillId="2" borderId="3" xfId="0" applyFont="1" applyFill="1" applyBorder="1" applyAlignment="1">
      <alignment horizontal="left" vertical="top"/>
    </xf>
    <xf numFmtId="0" fontId="18" fillId="2" borderId="1" xfId="0" applyFont="1" applyFill="1" applyBorder="1" applyAlignment="1">
      <alignment horizontal="left" vertical="top"/>
    </xf>
    <xf numFmtId="0" fontId="18" fillId="2" borderId="2" xfId="0" applyFont="1" applyFill="1" applyBorder="1" applyAlignment="1">
      <alignment horizontal="left" vertical="top"/>
    </xf>
    <xf numFmtId="0" fontId="18" fillId="2" borderId="84" xfId="0" applyFont="1" applyFill="1" applyBorder="1" applyAlignment="1">
      <alignment horizontal="center" vertical="center"/>
    </xf>
    <xf numFmtId="0" fontId="18" fillId="2" borderId="35" xfId="0" applyFont="1" applyFill="1" applyBorder="1" applyAlignment="1">
      <alignment horizontal="center" vertical="center"/>
    </xf>
    <xf numFmtId="0" fontId="18" fillId="2" borderId="37" xfId="0" applyFont="1" applyFill="1" applyBorder="1" applyAlignment="1">
      <alignment horizontal="center" vertical="center"/>
    </xf>
    <xf numFmtId="3" fontId="11" fillId="0" borderId="1" xfId="0" applyNumberFormat="1" applyFont="1" applyBorder="1" applyAlignment="1">
      <alignment horizontal="right" vertical="top"/>
    </xf>
    <xf numFmtId="3" fontId="6" fillId="0" borderId="1" xfId="2" applyNumberFormat="1" applyFont="1" applyFill="1" applyBorder="1" applyAlignment="1">
      <alignment horizontal="right" vertical="top"/>
    </xf>
    <xf numFmtId="3" fontId="6" fillId="0" borderId="2" xfId="0" applyNumberFormat="1" applyFont="1" applyBorder="1" applyAlignment="1">
      <alignment horizontal="right" vertical="top"/>
    </xf>
    <xf numFmtId="3" fontId="11" fillId="0" borderId="89" xfId="0" applyNumberFormat="1" applyFont="1" applyBorder="1" applyAlignment="1">
      <alignment horizontal="right" vertical="top"/>
    </xf>
    <xf numFmtId="3" fontId="11" fillId="0" borderId="28" xfId="0" applyNumberFormat="1" applyFont="1" applyBorder="1" applyAlignment="1">
      <alignment horizontal="right" vertical="top"/>
    </xf>
    <xf numFmtId="3" fontId="6" fillId="0" borderId="28" xfId="2" applyNumberFormat="1" applyFont="1" applyBorder="1" applyAlignment="1">
      <alignment horizontal="right" vertical="top"/>
    </xf>
    <xf numFmtId="3" fontId="6" fillId="0" borderId="42" xfId="0" applyNumberFormat="1" applyFont="1" applyBorder="1" applyAlignment="1">
      <alignment horizontal="right" vertical="top"/>
    </xf>
    <xf numFmtId="3" fontId="11" fillId="0" borderId="6" xfId="0" applyNumberFormat="1" applyFont="1" applyBorder="1" applyAlignment="1">
      <alignment horizontal="center" vertical="center"/>
    </xf>
    <xf numFmtId="3" fontId="11" fillId="0" borderId="28" xfId="0" applyNumberFormat="1" applyFont="1" applyBorder="1" applyAlignment="1">
      <alignment horizontal="center" vertical="center"/>
    </xf>
    <xf numFmtId="3" fontId="11" fillId="0" borderId="42" xfId="0" applyNumberFormat="1" applyFont="1" applyBorder="1" applyAlignment="1">
      <alignment horizontal="center" vertical="center"/>
    </xf>
    <xf numFmtId="3" fontId="11" fillId="3" borderId="6" xfId="0" applyNumberFormat="1" applyFont="1" applyFill="1" applyBorder="1" applyAlignment="1">
      <alignment horizontal="center" vertical="center"/>
    </xf>
    <xf numFmtId="3" fontId="11" fillId="3" borderId="28" xfId="0" applyNumberFormat="1" applyFont="1" applyFill="1" applyBorder="1" applyAlignment="1">
      <alignment horizontal="center" vertical="center"/>
    </xf>
    <xf numFmtId="3" fontId="11" fillId="3" borderId="42" xfId="0" applyNumberFormat="1" applyFont="1" applyFill="1" applyBorder="1" applyAlignment="1">
      <alignment horizontal="center" vertical="center"/>
    </xf>
    <xf numFmtId="3" fontId="11" fillId="0" borderId="3" xfId="0" applyNumberFormat="1" applyFont="1" applyBorder="1" applyAlignment="1">
      <alignment horizontal="right" vertical="top"/>
    </xf>
    <xf numFmtId="3" fontId="11" fillId="0" borderId="84" xfId="0" applyNumberFormat="1" applyFont="1" applyBorder="1" applyAlignment="1">
      <alignment horizontal="right" vertical="top"/>
    </xf>
    <xf numFmtId="3" fontId="11" fillId="0" borderId="34" xfId="0" applyNumberFormat="1" applyFont="1" applyBorder="1" applyAlignment="1">
      <alignment horizontal="right" vertical="top"/>
    </xf>
    <xf numFmtId="3" fontId="6" fillId="0" borderId="34" xfId="2" applyNumberFormat="1" applyFont="1" applyBorder="1" applyAlignment="1">
      <alignment horizontal="right" vertical="top"/>
    </xf>
    <xf numFmtId="3" fontId="6" fillId="0" borderId="35" xfId="0" applyNumberFormat="1" applyFont="1" applyBorder="1" applyAlignment="1">
      <alignment horizontal="right" vertical="top"/>
    </xf>
    <xf numFmtId="3" fontId="6" fillId="0" borderId="28" xfId="2" applyNumberFormat="1" applyFont="1" applyFill="1" applyBorder="1" applyAlignment="1">
      <alignment horizontal="right" vertical="top"/>
    </xf>
    <xf numFmtId="3" fontId="6" fillId="0" borderId="34" xfId="0" applyNumberFormat="1" applyFont="1" applyBorder="1" applyAlignment="1">
      <alignment horizontal="right" vertical="top"/>
    </xf>
    <xf numFmtId="3" fontId="6" fillId="0" borderId="34" xfId="2" applyNumberFormat="1" applyFont="1" applyFill="1" applyBorder="1" applyAlignment="1">
      <alignment horizontal="right" vertical="top"/>
    </xf>
    <xf numFmtId="3" fontId="6" fillId="0" borderId="85" xfId="0" applyNumberFormat="1" applyFont="1" applyBorder="1" applyAlignment="1">
      <alignment horizontal="right" vertical="top"/>
    </xf>
    <xf numFmtId="3" fontId="6" fillId="0" borderId="36" xfId="0" applyNumberFormat="1" applyFont="1" applyBorder="1" applyAlignment="1">
      <alignment horizontal="right" vertical="top"/>
    </xf>
    <xf numFmtId="3" fontId="6" fillId="0" borderId="12" xfId="0" applyNumberFormat="1" applyFont="1" applyBorder="1" applyAlignment="1">
      <alignment horizontal="right" vertical="top"/>
    </xf>
    <xf numFmtId="3" fontId="6" fillId="0" borderId="3" xfId="0" applyNumberFormat="1" applyFont="1" applyBorder="1" applyAlignment="1">
      <alignment horizontal="right" vertical="top"/>
    </xf>
    <xf numFmtId="3" fontId="6" fillId="0" borderId="1" xfId="0" applyNumberFormat="1" applyFont="1" applyBorder="1" applyAlignment="1">
      <alignment horizontal="right" vertical="top"/>
    </xf>
    <xf numFmtId="3" fontId="6" fillId="0" borderId="84" xfId="0" applyNumberFormat="1" applyFont="1" applyBorder="1" applyAlignment="1">
      <alignment horizontal="right" vertical="top"/>
    </xf>
    <xf numFmtId="3" fontId="6" fillId="0" borderId="89" xfId="0" applyNumberFormat="1" applyFont="1" applyBorder="1" applyAlignment="1">
      <alignment horizontal="right" vertical="top"/>
    </xf>
    <xf numFmtId="3" fontId="6" fillId="0" borderId="28" xfId="0" applyNumberFormat="1" applyFont="1" applyBorder="1" applyAlignment="1">
      <alignment horizontal="right" vertical="top"/>
    </xf>
    <xf numFmtId="3" fontId="6" fillId="0" borderId="113" xfId="0" applyNumberFormat="1" applyFont="1" applyBorder="1" applyAlignment="1">
      <alignment horizontal="right" vertical="top"/>
    </xf>
    <xf numFmtId="3" fontId="6" fillId="0" borderId="37" xfId="0" applyNumberFormat="1" applyFont="1" applyBorder="1" applyAlignment="1">
      <alignment horizontal="right" vertical="top"/>
    </xf>
    <xf numFmtId="3" fontId="6" fillId="0" borderId="8" xfId="0" applyNumberFormat="1" applyFont="1" applyBorder="1" applyAlignment="1">
      <alignment horizontal="right" vertical="top"/>
    </xf>
    <xf numFmtId="3" fontId="6" fillId="0" borderId="9" xfId="0" applyNumberFormat="1" applyFont="1" applyBorder="1" applyAlignment="1">
      <alignment horizontal="right" vertical="top"/>
    </xf>
    <xf numFmtId="3" fontId="6" fillId="0" borderId="87" xfId="0" applyNumberFormat="1" applyFont="1" applyBorder="1" applyAlignment="1">
      <alignment horizontal="right" vertical="top"/>
    </xf>
    <xf numFmtId="3" fontId="6" fillId="0" borderId="94" xfId="0" applyNumberFormat="1" applyFont="1" applyBorder="1" applyAlignment="1">
      <alignment horizontal="right" vertical="top"/>
    </xf>
    <xf numFmtId="3" fontId="11" fillId="0" borderId="11" xfId="0" applyNumberFormat="1" applyFont="1" applyBorder="1" applyAlignment="1">
      <alignment horizontal="center" vertical="center"/>
    </xf>
    <xf numFmtId="3" fontId="11" fillId="0" borderId="8" xfId="0" applyNumberFormat="1" applyFont="1" applyBorder="1" applyAlignment="1">
      <alignment horizontal="center" vertical="center"/>
    </xf>
    <xf numFmtId="3" fontId="11" fillId="0" borderId="94" xfId="0" applyNumberFormat="1" applyFont="1" applyBorder="1" applyAlignment="1">
      <alignment horizontal="center" vertical="center"/>
    </xf>
    <xf numFmtId="3" fontId="11" fillId="3" borderId="8" xfId="0" applyNumberFormat="1" applyFont="1" applyFill="1" applyBorder="1" applyAlignment="1">
      <alignment horizontal="center" vertical="center"/>
    </xf>
    <xf numFmtId="3" fontId="6" fillId="0" borderId="169" xfId="0" applyNumberFormat="1" applyFont="1" applyBorder="1" applyAlignment="1">
      <alignment horizontal="right" vertical="top"/>
    </xf>
    <xf numFmtId="3" fontId="6" fillId="0" borderId="29" xfId="0" applyNumberFormat="1" applyFont="1" applyBorder="1" applyAlignment="1">
      <alignment horizontal="right" vertical="top"/>
    </xf>
    <xf numFmtId="3" fontId="6" fillId="0" borderId="99" xfId="0" applyNumberFormat="1" applyFont="1" applyBorder="1" applyAlignment="1">
      <alignment horizontal="right" vertical="top"/>
    </xf>
    <xf numFmtId="3" fontId="11" fillId="0" borderId="30" xfId="0" applyNumberFormat="1" applyFont="1" applyBorder="1" applyAlignment="1">
      <alignment horizontal="center" vertical="center"/>
    </xf>
    <xf numFmtId="3" fontId="11" fillId="0" borderId="29" xfId="0" applyNumberFormat="1" applyFont="1" applyBorder="1" applyAlignment="1">
      <alignment horizontal="center" vertical="center"/>
    </xf>
    <xf numFmtId="3" fontId="11" fillId="0" borderId="99" xfId="0" applyNumberFormat="1" applyFont="1" applyBorder="1" applyAlignment="1">
      <alignment horizontal="center" vertical="center"/>
    </xf>
    <xf numFmtId="3" fontId="11" fillId="3" borderId="29" xfId="0" applyNumberFormat="1" applyFont="1" applyFill="1" applyBorder="1" applyAlignment="1">
      <alignment horizontal="center" vertical="center"/>
    </xf>
    <xf numFmtId="3" fontId="6" fillId="0" borderId="197" xfId="0" applyNumberFormat="1" applyFont="1" applyBorder="1" applyAlignment="1">
      <alignment horizontal="right" vertical="top"/>
    </xf>
    <xf numFmtId="3" fontId="6" fillId="0" borderId="198" xfId="0" applyNumberFormat="1" applyFont="1" applyBorder="1" applyAlignment="1">
      <alignment horizontal="right" vertical="top"/>
    </xf>
    <xf numFmtId="3" fontId="11" fillId="3" borderId="11" xfId="0" applyNumberFormat="1" applyFont="1" applyFill="1" applyBorder="1" applyAlignment="1">
      <alignment horizontal="center" vertical="center"/>
    </xf>
    <xf numFmtId="3" fontId="11" fillId="3" borderId="88" xfId="0" applyNumberFormat="1" applyFont="1" applyFill="1" applyBorder="1" applyAlignment="1">
      <alignment horizontal="center" vertical="center"/>
    </xf>
    <xf numFmtId="0" fontId="6" fillId="4" borderId="40" xfId="0" applyFont="1" applyFill="1" applyBorder="1" applyAlignment="1">
      <alignment horizontal="left" vertical="top" wrapText="1"/>
    </xf>
    <xf numFmtId="3" fontId="6" fillId="4" borderId="6" xfId="0" applyNumberFormat="1" applyFont="1" applyFill="1" applyBorder="1" applyAlignment="1">
      <alignment horizontal="right" vertical="top"/>
    </xf>
    <xf numFmtId="3" fontId="6" fillId="4" borderId="28" xfId="0" applyNumberFormat="1" applyFont="1" applyFill="1" applyBorder="1" applyAlignment="1">
      <alignment horizontal="right" vertical="top"/>
    </xf>
    <xf numFmtId="3" fontId="6" fillId="4" borderId="12" xfId="0" applyNumberFormat="1" applyFont="1" applyFill="1" applyBorder="1" applyAlignment="1">
      <alignment horizontal="right" vertical="top"/>
    </xf>
    <xf numFmtId="3" fontId="6" fillId="4" borderId="89" xfId="0" applyNumberFormat="1" applyFont="1" applyFill="1" applyBorder="1" applyAlignment="1">
      <alignment horizontal="right" vertical="top"/>
    </xf>
    <xf numFmtId="3" fontId="6" fillId="4" borderId="42" xfId="0" applyNumberFormat="1" applyFont="1" applyFill="1" applyBorder="1" applyAlignment="1">
      <alignment horizontal="right" vertical="top"/>
    </xf>
    <xf numFmtId="3" fontId="11" fillId="4" borderId="6" xfId="0" applyNumberFormat="1" applyFont="1" applyFill="1" applyBorder="1" applyAlignment="1">
      <alignment horizontal="center" vertical="center"/>
    </xf>
    <xf numFmtId="3" fontId="11" fillId="4" borderId="28" xfId="0" applyNumberFormat="1" applyFont="1" applyFill="1" applyBorder="1" applyAlignment="1">
      <alignment horizontal="center" vertical="center"/>
    </xf>
    <xf numFmtId="3" fontId="11" fillId="4" borderId="12" xfId="0" applyNumberFormat="1" applyFont="1" applyFill="1" applyBorder="1" applyAlignment="1">
      <alignment horizontal="center" vertical="center"/>
    </xf>
    <xf numFmtId="3" fontId="11" fillId="4" borderId="4" xfId="0" applyNumberFormat="1" applyFont="1" applyFill="1" applyBorder="1" applyAlignment="1">
      <alignment horizontal="center" vertical="center"/>
    </xf>
    <xf numFmtId="3" fontId="11" fillId="4" borderId="5" xfId="0" applyNumberFormat="1" applyFont="1" applyFill="1" applyBorder="1" applyAlignment="1">
      <alignment horizontal="center" vertical="center"/>
    </xf>
    <xf numFmtId="3" fontId="11" fillId="4" borderId="40" xfId="0" applyNumberFormat="1" applyFont="1" applyFill="1" applyBorder="1" applyAlignment="1">
      <alignment horizontal="center" vertical="center"/>
    </xf>
    <xf numFmtId="0" fontId="6" fillId="4" borderId="92" xfId="0" applyFont="1" applyFill="1" applyBorder="1" applyAlignment="1">
      <alignment horizontal="left" vertical="top" wrapText="1"/>
    </xf>
    <xf numFmtId="3" fontId="6" fillId="4" borderId="3" xfId="0" applyNumberFormat="1" applyFont="1" applyFill="1" applyBorder="1" applyAlignment="1">
      <alignment horizontal="right" vertical="top"/>
    </xf>
    <xf numFmtId="3" fontId="6" fillId="4" borderId="1" xfId="0" applyNumberFormat="1" applyFont="1" applyFill="1" applyBorder="1" applyAlignment="1">
      <alignment horizontal="right" vertical="top"/>
    </xf>
    <xf numFmtId="3" fontId="6" fillId="4" borderId="2" xfId="0" applyNumberFormat="1" applyFont="1" applyFill="1" applyBorder="1" applyAlignment="1">
      <alignment horizontal="right" vertical="top"/>
    </xf>
    <xf numFmtId="3" fontId="6" fillId="4" borderId="19" xfId="0" applyNumberFormat="1" applyFont="1" applyFill="1" applyBorder="1" applyAlignment="1">
      <alignment horizontal="right" vertical="top"/>
    </xf>
    <xf numFmtId="3" fontId="6" fillId="4" borderId="92" xfId="0" applyNumberFormat="1" applyFont="1" applyFill="1" applyBorder="1" applyAlignment="1">
      <alignment horizontal="right" vertical="top"/>
    </xf>
    <xf numFmtId="3" fontId="11" fillId="4" borderId="3" xfId="0" applyNumberFormat="1" applyFont="1" applyFill="1" applyBorder="1" applyAlignment="1">
      <alignment horizontal="center" vertical="center"/>
    </xf>
    <xf numFmtId="3" fontId="11" fillId="4" borderId="1" xfId="0" applyNumberFormat="1" applyFont="1" applyFill="1" applyBorder="1" applyAlignment="1">
      <alignment horizontal="center" vertical="center"/>
    </xf>
    <xf numFmtId="3" fontId="11" fillId="4" borderId="94" xfId="0" applyNumberFormat="1" applyFont="1" applyFill="1" applyBorder="1" applyAlignment="1">
      <alignment horizontal="center" vertical="center"/>
    </xf>
    <xf numFmtId="3" fontId="11" fillId="4" borderId="92" xfId="0" applyNumberFormat="1" applyFont="1" applyFill="1" applyBorder="1" applyAlignment="1">
      <alignment horizontal="center" vertical="center"/>
    </xf>
    <xf numFmtId="3" fontId="11" fillId="4" borderId="2" xfId="0" applyNumberFormat="1" applyFont="1" applyFill="1" applyBorder="1" applyAlignment="1">
      <alignment horizontal="center" vertical="center"/>
    </xf>
    <xf numFmtId="10" fontId="6" fillId="4" borderId="3" xfId="3" applyNumberFormat="1" applyFont="1" applyFill="1" applyBorder="1" applyAlignment="1">
      <alignment horizontal="right" vertical="top"/>
    </xf>
    <xf numFmtId="10" fontId="6" fillId="4" borderId="1" xfId="3" applyNumberFormat="1" applyFont="1" applyFill="1" applyBorder="1" applyAlignment="1">
      <alignment horizontal="right" vertical="top"/>
    </xf>
    <xf numFmtId="10" fontId="6" fillId="4" borderId="2" xfId="3" applyNumberFormat="1" applyFont="1" applyFill="1" applyBorder="1" applyAlignment="1">
      <alignment horizontal="right" vertical="top"/>
    </xf>
    <xf numFmtId="172" fontId="6" fillId="4" borderId="19" xfId="3" applyNumberFormat="1" applyFont="1" applyFill="1" applyBorder="1" applyAlignment="1">
      <alignment horizontal="right" vertical="top"/>
    </xf>
    <xf numFmtId="172" fontId="6" fillId="4" borderId="1" xfId="3" applyNumberFormat="1" applyFont="1" applyFill="1" applyBorder="1" applyAlignment="1">
      <alignment horizontal="right" vertical="top"/>
    </xf>
    <xf numFmtId="172" fontId="6" fillId="4" borderId="92" xfId="3" applyNumberFormat="1" applyFont="1" applyFill="1" applyBorder="1" applyAlignment="1">
      <alignment horizontal="right" vertical="top"/>
    </xf>
    <xf numFmtId="172" fontId="11" fillId="4" borderId="3" xfId="3" applyNumberFormat="1" applyFont="1" applyFill="1" applyBorder="1" applyAlignment="1">
      <alignment horizontal="center" vertical="center"/>
    </xf>
    <xf numFmtId="172" fontId="11" fillId="4" borderId="18" xfId="3" applyNumberFormat="1" applyFont="1" applyFill="1" applyBorder="1" applyAlignment="1">
      <alignment horizontal="center" vertical="center"/>
    </xf>
    <xf numFmtId="172" fontId="11" fillId="4" borderId="94" xfId="3" applyNumberFormat="1" applyFont="1" applyFill="1" applyBorder="1" applyAlignment="1">
      <alignment horizontal="center" vertical="center"/>
    </xf>
    <xf numFmtId="172" fontId="11" fillId="4" borderId="19" xfId="3" applyNumberFormat="1" applyFont="1" applyFill="1" applyBorder="1" applyAlignment="1">
      <alignment horizontal="center" vertical="center"/>
    </xf>
    <xf numFmtId="172" fontId="11" fillId="4" borderId="6" xfId="3" applyNumberFormat="1" applyFont="1" applyFill="1" applyBorder="1" applyAlignment="1">
      <alignment horizontal="center" vertical="center"/>
    </xf>
    <xf numFmtId="172" fontId="11" fillId="4" borderId="13" xfId="3" applyNumberFormat="1" applyFont="1" applyFill="1" applyBorder="1" applyAlignment="1">
      <alignment horizontal="center" vertical="center"/>
    </xf>
    <xf numFmtId="172" fontId="11" fillId="4" borderId="99" xfId="3" applyNumberFormat="1" applyFont="1" applyFill="1" applyBorder="1" applyAlignment="1">
      <alignment horizontal="center" vertical="center"/>
    </xf>
    <xf numFmtId="0" fontId="6" fillId="4" borderId="35" xfId="0" applyFont="1" applyFill="1" applyBorder="1" applyAlignment="1">
      <alignment horizontal="left" vertical="top" wrapText="1"/>
    </xf>
    <xf numFmtId="10" fontId="6" fillId="4" borderId="37" xfId="3" applyNumberFormat="1" applyFont="1" applyFill="1" applyBorder="1" applyAlignment="1">
      <alignment horizontal="right" vertical="top"/>
    </xf>
    <xf numFmtId="10" fontId="6" fillId="4" borderId="34" xfId="3" applyNumberFormat="1" applyFont="1" applyFill="1" applyBorder="1" applyAlignment="1">
      <alignment horizontal="right" vertical="top"/>
    </xf>
    <xf numFmtId="10" fontId="6" fillId="4" borderId="85" xfId="3" applyNumberFormat="1" applyFont="1" applyFill="1" applyBorder="1" applyAlignment="1">
      <alignment horizontal="right" vertical="top"/>
    </xf>
    <xf numFmtId="172" fontId="6" fillId="4" borderId="84" xfId="3" applyNumberFormat="1" applyFont="1" applyFill="1" applyBorder="1" applyAlignment="1">
      <alignment horizontal="right" vertical="top"/>
    </xf>
    <xf numFmtId="172" fontId="6" fillId="4" borderId="34" xfId="3" applyNumberFormat="1" applyFont="1" applyFill="1" applyBorder="1" applyAlignment="1">
      <alignment horizontal="right" vertical="top"/>
    </xf>
    <xf numFmtId="172" fontId="6" fillId="4" borderId="35" xfId="3" applyNumberFormat="1" applyFont="1" applyFill="1" applyBorder="1" applyAlignment="1">
      <alignment horizontal="right" vertical="top"/>
    </xf>
    <xf numFmtId="172" fontId="11" fillId="4" borderId="37" xfId="3" applyNumberFormat="1" applyFont="1" applyFill="1" applyBorder="1" applyAlignment="1">
      <alignment horizontal="center" vertical="center"/>
    </xf>
    <xf numFmtId="172" fontId="11" fillId="4" borderId="129" xfId="3" applyNumberFormat="1" applyFont="1" applyFill="1" applyBorder="1" applyAlignment="1">
      <alignment horizontal="center" vertical="center"/>
    </xf>
    <xf numFmtId="172" fontId="11" fillId="4" borderId="35" xfId="3" applyNumberFormat="1" applyFont="1" applyFill="1" applyBorder="1" applyAlignment="1">
      <alignment horizontal="center" vertical="center"/>
    </xf>
    <xf numFmtId="172" fontId="11" fillId="4" borderId="84" xfId="3" applyNumberFormat="1" applyFont="1" applyFill="1" applyBorder="1" applyAlignment="1">
      <alignment horizontal="center" vertical="center"/>
    </xf>
    <xf numFmtId="0" fontId="63" fillId="0" borderId="0" xfId="0" applyFont="1"/>
    <xf numFmtId="0" fontId="18" fillId="3" borderId="0" xfId="0" applyFont="1" applyFill="1"/>
    <xf numFmtId="0" fontId="18" fillId="2" borderId="37" xfId="0" applyFont="1" applyFill="1" applyBorder="1" applyAlignment="1">
      <alignment horizontal="center" vertical="center" wrapText="1"/>
    </xf>
    <xf numFmtId="0" fontId="18" fillId="2" borderId="86" xfId="0" applyFont="1" applyFill="1" applyBorder="1" applyAlignment="1">
      <alignment horizontal="center" vertical="center"/>
    </xf>
    <xf numFmtId="3" fontId="6" fillId="3" borderId="0" xfId="0" applyNumberFormat="1" applyFont="1" applyFill="1" applyAlignment="1">
      <alignment horizontal="right" vertical="top"/>
    </xf>
    <xf numFmtId="3" fontId="11" fillId="3" borderId="0" xfId="0" applyNumberFormat="1" applyFont="1" applyFill="1" applyAlignment="1">
      <alignment horizontal="center" vertical="center"/>
    </xf>
    <xf numFmtId="3" fontId="6" fillId="3" borderId="19" xfId="0" applyNumberFormat="1" applyFont="1" applyFill="1" applyBorder="1" applyAlignment="1">
      <alignment horizontal="right" vertical="top"/>
    </xf>
    <xf numFmtId="3" fontId="6" fillId="3" borderId="156" xfId="0" applyNumberFormat="1" applyFont="1" applyFill="1" applyBorder="1" applyAlignment="1">
      <alignment horizontal="right" vertical="top"/>
    </xf>
    <xf numFmtId="172" fontId="6" fillId="3" borderId="0" xfId="3" applyNumberFormat="1" applyFont="1" applyFill="1" applyBorder="1" applyAlignment="1">
      <alignment horizontal="right" vertical="top"/>
    </xf>
    <xf numFmtId="172" fontId="11" fillId="3" borderId="0" xfId="3" applyNumberFormat="1" applyFont="1" applyFill="1" applyBorder="1" applyAlignment="1">
      <alignment horizontal="center" vertical="center"/>
    </xf>
    <xf numFmtId="3" fontId="6" fillId="3" borderId="154" xfId="0" applyNumberFormat="1" applyFont="1" applyFill="1" applyBorder="1" applyAlignment="1">
      <alignment horizontal="right" vertical="top"/>
    </xf>
    <xf numFmtId="3" fontId="6" fillId="3" borderId="89" xfId="0" applyNumberFormat="1" applyFont="1" applyFill="1" applyBorder="1" applyAlignment="1">
      <alignment horizontal="right" vertical="top"/>
    </xf>
    <xf numFmtId="3" fontId="6" fillId="3" borderId="155" xfId="0" applyNumberFormat="1" applyFont="1" applyFill="1" applyBorder="1" applyAlignment="1">
      <alignment horizontal="right" vertical="top"/>
    </xf>
    <xf numFmtId="3" fontId="6" fillId="4" borderId="256" xfId="0" applyNumberFormat="1" applyFont="1" applyFill="1" applyBorder="1" applyAlignment="1">
      <alignment horizontal="right" vertical="top"/>
    </xf>
    <xf numFmtId="3" fontId="6" fillId="4" borderId="257" xfId="0" applyNumberFormat="1" applyFont="1" applyFill="1" applyBorder="1" applyAlignment="1">
      <alignment horizontal="right" vertical="top"/>
    </xf>
    <xf numFmtId="3" fontId="6" fillId="3" borderId="258" xfId="0" applyNumberFormat="1" applyFont="1" applyFill="1" applyBorder="1" applyAlignment="1">
      <alignment horizontal="right" vertical="top"/>
    </xf>
    <xf numFmtId="3" fontId="6" fillId="3" borderId="266" xfId="0" applyNumberFormat="1" applyFont="1" applyFill="1" applyBorder="1" applyAlignment="1">
      <alignment horizontal="right" vertical="top"/>
    </xf>
    <xf numFmtId="3" fontId="6" fillId="3" borderId="263" xfId="0" applyNumberFormat="1" applyFont="1" applyFill="1" applyBorder="1" applyAlignment="1">
      <alignment horizontal="right" vertical="top"/>
    </xf>
    <xf numFmtId="10" fontId="6" fillId="4" borderId="253" xfId="3" applyNumberFormat="1" applyFont="1" applyFill="1" applyBorder="1" applyAlignment="1">
      <alignment horizontal="right" vertical="top"/>
    </xf>
    <xf numFmtId="10" fontId="6" fillId="4" borderId="261" xfId="3" applyNumberFormat="1" applyFont="1" applyFill="1" applyBorder="1" applyAlignment="1">
      <alignment horizontal="right" vertical="top"/>
    </xf>
    <xf numFmtId="3" fontId="6" fillId="3" borderId="267" xfId="0" applyNumberFormat="1" applyFont="1" applyFill="1" applyBorder="1" applyAlignment="1">
      <alignment horizontal="right" vertical="top"/>
    </xf>
    <xf numFmtId="172" fontId="6" fillId="3" borderId="252" xfId="3" applyNumberFormat="1" applyFont="1" applyFill="1" applyBorder="1" applyAlignment="1">
      <alignment horizontal="right" vertical="top"/>
    </xf>
    <xf numFmtId="0" fontId="6" fillId="4" borderId="5" xfId="0" applyFont="1" applyFill="1" applyBorder="1" applyAlignment="1">
      <alignment horizontal="left" vertical="top" wrapText="1"/>
    </xf>
    <xf numFmtId="3" fontId="6" fillId="4" borderId="155" xfId="0" applyNumberFormat="1" applyFont="1" applyFill="1" applyBorder="1" applyAlignment="1">
      <alignment horizontal="right" vertical="top"/>
    </xf>
    <xf numFmtId="0" fontId="6" fillId="4" borderId="28" xfId="0" applyFont="1" applyFill="1" applyBorder="1" applyAlignment="1">
      <alignment horizontal="left" vertical="top" wrapText="1"/>
    </xf>
    <xf numFmtId="3" fontId="6" fillId="4" borderId="156" xfId="0" applyNumberFormat="1" applyFont="1" applyFill="1" applyBorder="1" applyAlignment="1">
      <alignment horizontal="right" vertical="top"/>
    </xf>
    <xf numFmtId="0" fontId="6" fillId="4" borderId="1" xfId="0" applyFont="1" applyFill="1" applyBorder="1" applyAlignment="1">
      <alignment horizontal="left" vertical="top" wrapText="1"/>
    </xf>
    <xf numFmtId="3" fontId="6" fillId="4" borderId="84" xfId="0" applyNumberFormat="1" applyFont="1" applyFill="1" applyBorder="1" applyAlignment="1">
      <alignment horizontal="right" vertical="top"/>
    </xf>
    <xf numFmtId="3" fontId="6" fillId="4" borderId="154" xfId="0" applyNumberFormat="1" applyFont="1" applyFill="1" applyBorder="1" applyAlignment="1">
      <alignment horizontal="right" vertical="top"/>
    </xf>
    <xf numFmtId="172" fontId="6" fillId="0" borderId="89" xfId="3" applyNumberFormat="1" applyFont="1" applyFill="1" applyBorder="1" applyAlignment="1">
      <alignment horizontal="center" vertical="center"/>
    </xf>
    <xf numFmtId="172" fontId="11" fillId="0" borderId="19" xfId="3" applyNumberFormat="1" applyFont="1" applyFill="1" applyBorder="1" applyAlignment="1">
      <alignment horizontal="center" vertical="center"/>
    </xf>
    <xf numFmtId="172" fontId="6" fillId="0" borderId="19" xfId="3" applyNumberFormat="1" applyFont="1" applyFill="1" applyBorder="1" applyAlignment="1">
      <alignment horizontal="center" vertical="center"/>
    </xf>
    <xf numFmtId="172" fontId="6" fillId="0" borderId="87" xfId="3" applyNumberFormat="1" applyFont="1" applyFill="1" applyBorder="1" applyAlignment="1">
      <alignment horizontal="center" vertical="center"/>
    </xf>
    <xf numFmtId="181" fontId="12" fillId="0" borderId="1" xfId="0" applyNumberFormat="1" applyFont="1" applyBorder="1" applyAlignment="1">
      <alignment horizontal="center" vertical="center"/>
    </xf>
    <xf numFmtId="181" fontId="12" fillId="0" borderId="34" xfId="0" applyNumberFormat="1" applyFont="1" applyBorder="1" applyAlignment="1">
      <alignment horizontal="center" vertical="center"/>
    </xf>
    <xf numFmtId="181" fontId="12" fillId="0" borderId="85" xfId="0" applyNumberFormat="1" applyFont="1" applyBorder="1" applyAlignment="1">
      <alignment horizontal="center" vertical="center"/>
    </xf>
    <xf numFmtId="181" fontId="12" fillId="0" borderId="38" xfId="0" applyNumberFormat="1" applyFont="1" applyBorder="1" applyAlignment="1">
      <alignment horizontal="center" vertical="center"/>
    </xf>
    <xf numFmtId="181" fontId="17" fillId="2" borderId="28" xfId="0" applyNumberFormat="1" applyFont="1" applyFill="1" applyBorder="1" applyAlignment="1">
      <alignment horizontal="center" vertical="center" wrapText="1"/>
    </xf>
    <xf numFmtId="181" fontId="12" fillId="3" borderId="1" xfId="0" applyNumberFormat="1" applyFont="1" applyFill="1" applyBorder="1" applyAlignment="1">
      <alignment horizontal="center" vertical="center"/>
    </xf>
    <xf numFmtId="181" fontId="12" fillId="3" borderId="85" xfId="0" applyNumberFormat="1" applyFont="1" applyFill="1" applyBorder="1" applyAlignment="1">
      <alignment horizontal="center" vertical="center"/>
    </xf>
    <xf numFmtId="181" fontId="12" fillId="3" borderId="34" xfId="0" applyNumberFormat="1" applyFont="1" applyFill="1" applyBorder="1" applyAlignment="1">
      <alignment horizontal="center" vertical="center"/>
    </xf>
    <xf numFmtId="0" fontId="6" fillId="0" borderId="1" xfId="0" applyFont="1" applyBorder="1" applyAlignment="1">
      <alignment horizontal="center" vertical="center"/>
    </xf>
    <xf numFmtId="0" fontId="6" fillId="3" borderId="1" xfId="0" applyFont="1" applyFill="1" applyBorder="1" applyAlignment="1">
      <alignment horizontal="center" vertical="center"/>
    </xf>
    <xf numFmtId="174" fontId="6" fillId="3" borderId="1" xfId="0" applyNumberFormat="1" applyFont="1" applyFill="1" applyBorder="1" applyAlignment="1">
      <alignment horizontal="center" vertical="center"/>
    </xf>
    <xf numFmtId="0" fontId="11" fillId="0" borderId="1" xfId="0" applyFont="1" applyBorder="1" applyAlignment="1">
      <alignment horizontal="center" vertical="center"/>
    </xf>
    <xf numFmtId="0" fontId="11" fillId="3" borderId="1" xfId="0" applyFont="1" applyFill="1" applyBorder="1" applyAlignment="1">
      <alignment horizontal="center" vertical="center"/>
    </xf>
    <xf numFmtId="170" fontId="11" fillId="0" borderId="1" xfId="0" applyNumberFormat="1" applyFont="1" applyBorder="1" applyAlignment="1">
      <alignment horizontal="center" vertical="center"/>
    </xf>
    <xf numFmtId="170" fontId="11" fillId="3" borderId="1" xfId="0" applyNumberFormat="1" applyFont="1" applyFill="1" applyBorder="1" applyAlignment="1">
      <alignment horizontal="center" vertical="center"/>
    </xf>
    <xf numFmtId="0" fontId="0" fillId="0" borderId="0" xfId="0" applyAlignment="1">
      <alignment horizontal="center"/>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3" fontId="6" fillId="3" borderId="1" xfId="1" applyNumberFormat="1" applyFont="1" applyFill="1" applyBorder="1" applyAlignment="1">
      <alignment horizontal="center" vertical="center"/>
    </xf>
    <xf numFmtId="1" fontId="11" fillId="3" borderId="28" xfId="0" applyNumberFormat="1" applyFont="1" applyFill="1" applyBorder="1" applyAlignment="1">
      <alignment horizontal="center" vertical="center" wrapText="1"/>
    </xf>
    <xf numFmtId="1" fontId="11" fillId="3" borderId="12" xfId="0" applyNumberFormat="1" applyFont="1" applyFill="1" applyBorder="1" applyAlignment="1">
      <alignment horizontal="center" vertical="center" wrapText="1"/>
    </xf>
    <xf numFmtId="1" fontId="11" fillId="3" borderId="1" xfId="0" applyNumberFormat="1" applyFont="1" applyFill="1" applyBorder="1" applyAlignment="1">
      <alignment horizontal="center" vertical="center" wrapText="1"/>
    </xf>
    <xf numFmtId="1" fontId="11" fillId="3" borderId="2" xfId="0" applyNumberFormat="1" applyFont="1" applyFill="1" applyBorder="1" applyAlignment="1">
      <alignment horizontal="center" vertical="center" wrapText="1"/>
    </xf>
    <xf numFmtId="3" fontId="6" fillId="0" borderId="93" xfId="0" applyNumberFormat="1" applyFont="1" applyBorder="1" applyAlignment="1">
      <alignment horizontal="right" vertical="center" wrapText="1"/>
    </xf>
    <xf numFmtId="3" fontId="6" fillId="0" borderId="160" xfId="0" applyNumberFormat="1" applyFont="1" applyBorder="1" applyAlignment="1">
      <alignment horizontal="right" vertical="center" wrapText="1"/>
    </xf>
    <xf numFmtId="173" fontId="6" fillId="61" borderId="160" xfId="1" applyNumberFormat="1" applyFont="1" applyFill="1" applyBorder="1" applyAlignment="1">
      <alignment horizontal="right" vertical="center" wrapText="1"/>
    </xf>
    <xf numFmtId="173" fontId="6" fillId="61" borderId="97" xfId="1" applyNumberFormat="1" applyFont="1" applyFill="1" applyBorder="1" applyAlignment="1">
      <alignment horizontal="right" vertical="center" wrapText="1"/>
    </xf>
    <xf numFmtId="173" fontId="6" fillId="0" borderId="30" xfId="1" applyNumberFormat="1" applyFont="1" applyFill="1" applyBorder="1" applyAlignment="1">
      <alignment horizontal="right" vertical="center" wrapText="1"/>
    </xf>
    <xf numFmtId="173" fontId="6" fillId="0" borderId="29" xfId="1" applyNumberFormat="1" applyFont="1" applyFill="1" applyBorder="1" applyAlignment="1">
      <alignment horizontal="right" vertical="center" wrapText="1"/>
    </xf>
    <xf numFmtId="9" fontId="62" fillId="0" borderId="0" xfId="3" applyFont="1"/>
    <xf numFmtId="9" fontId="39" fillId="0" borderId="0" xfId="3" applyFont="1"/>
    <xf numFmtId="0" fontId="55" fillId="0" borderId="127" xfId="9" applyFont="1" applyBorder="1" applyAlignment="1">
      <alignment horizontal="center" vertical="center"/>
    </xf>
    <xf numFmtId="9" fontId="53" fillId="0" borderId="0" xfId="3" applyFont="1" applyAlignment="1">
      <alignment horizontal="center"/>
    </xf>
    <xf numFmtId="9" fontId="53" fillId="0" borderId="0" xfId="3" applyFont="1" applyAlignment="1">
      <alignment horizontal="center" vertical="top"/>
    </xf>
    <xf numFmtId="0" fontId="6" fillId="0" borderId="23" xfId="9" applyFont="1" applyBorder="1" applyAlignment="1">
      <alignment horizontal="center"/>
    </xf>
    <xf numFmtId="0" fontId="6" fillId="0" borderId="127" xfId="9" applyFont="1" applyBorder="1" applyAlignment="1">
      <alignment horizontal="center"/>
    </xf>
    <xf numFmtId="0" fontId="55" fillId="0" borderId="156" xfId="9" applyFont="1" applyBorder="1" applyAlignment="1">
      <alignment vertical="center"/>
    </xf>
    <xf numFmtId="0" fontId="55" fillId="0" borderId="21" xfId="9" applyFont="1" applyBorder="1" applyAlignment="1">
      <alignment vertical="center"/>
    </xf>
    <xf numFmtId="0" fontId="0" fillId="0" borderId="21" xfId="0" applyBorder="1"/>
    <xf numFmtId="0" fontId="0" fillId="0" borderId="128" xfId="0" applyBorder="1"/>
    <xf numFmtId="9" fontId="39" fillId="0" borderId="0" xfId="0" applyNumberFormat="1" applyFont="1"/>
    <xf numFmtId="172" fontId="53" fillId="0" borderId="18" xfId="9" applyNumberFormat="1" applyFont="1" applyBorder="1" applyAlignment="1">
      <alignment horizontal="center" vertical="top"/>
    </xf>
    <xf numFmtId="172" fontId="53" fillId="0" borderId="83" xfId="9" applyNumberFormat="1" applyFont="1" applyBorder="1" applyAlignment="1">
      <alignment horizontal="center" vertical="top"/>
    </xf>
    <xf numFmtId="0" fontId="6" fillId="0" borderId="92" xfId="9" applyFont="1" applyBorder="1" applyAlignment="1">
      <alignment horizontal="center"/>
    </xf>
    <xf numFmtId="0" fontId="6" fillId="0" borderId="1" xfId="9" applyFont="1" applyBorder="1" applyAlignment="1">
      <alignment horizontal="center"/>
    </xf>
    <xf numFmtId="0" fontId="0" fillId="0" borderId="38" xfId="0" applyBorder="1" applyAlignment="1">
      <alignment horizontal="center"/>
    </xf>
    <xf numFmtId="0" fontId="20" fillId="0" borderId="128" xfId="0" applyFont="1" applyBorder="1" applyAlignment="1">
      <alignment wrapText="1"/>
    </xf>
    <xf numFmtId="0" fontId="55" fillId="0" borderId="95" xfId="9" applyFont="1" applyBorder="1" applyAlignment="1">
      <alignment horizontal="left" vertical="center"/>
    </xf>
    <xf numFmtId="0" fontId="55" fillId="0" borderId="220" xfId="9" applyFont="1" applyBorder="1" applyAlignment="1">
      <alignment vertical="center"/>
    </xf>
    <xf numFmtId="170" fontId="55" fillId="0" borderId="155" xfId="9" applyNumberFormat="1" applyFont="1" applyBorder="1" applyAlignment="1">
      <alignment horizontal="center" vertical="center"/>
    </xf>
    <xf numFmtId="0" fontId="55" fillId="0" borderId="155" xfId="9" applyFont="1" applyBorder="1" applyAlignment="1">
      <alignment horizontal="center" vertical="center"/>
    </xf>
    <xf numFmtId="0" fontId="6" fillId="0" borderId="162" xfId="9" applyFont="1" applyBorder="1" applyAlignment="1">
      <alignment horizontal="center"/>
    </xf>
    <xf numFmtId="0" fontId="6" fillId="0" borderId="28" xfId="9" applyFont="1" applyBorder="1" applyAlignment="1">
      <alignment horizontal="center"/>
    </xf>
    <xf numFmtId="0" fontId="6" fillId="0" borderId="155" xfId="9" applyFont="1" applyBorder="1" applyAlignment="1">
      <alignment horizontal="center"/>
    </xf>
    <xf numFmtId="0" fontId="55" fillId="0" borderId="165" xfId="9" applyFont="1" applyBorder="1" applyAlignment="1">
      <alignment vertical="center"/>
    </xf>
    <xf numFmtId="0" fontId="6" fillId="0" borderId="10" xfId="0" applyFont="1" applyBorder="1" applyAlignment="1">
      <alignment horizontal="center"/>
    </xf>
    <xf numFmtId="165" fontId="6" fillId="0" borderId="131" xfId="0" applyNumberFormat="1" applyFont="1" applyBorder="1" applyAlignment="1">
      <alignment horizontal="center"/>
    </xf>
    <xf numFmtId="9" fontId="6" fillId="0" borderId="30" xfId="3" applyFont="1" applyBorder="1" applyAlignment="1">
      <alignment horizontal="center"/>
    </xf>
    <xf numFmtId="0" fontId="6" fillId="0" borderId="154" xfId="0" applyFont="1" applyBorder="1" applyAlignment="1">
      <alignment horizontal="center"/>
    </xf>
    <xf numFmtId="9" fontId="6" fillId="0" borderId="154" xfId="3" applyFont="1" applyBorder="1" applyAlignment="1">
      <alignment horizontal="center"/>
    </xf>
    <xf numFmtId="9" fontId="6" fillId="0" borderId="37" xfId="3" applyFont="1" applyBorder="1" applyAlignment="1">
      <alignment horizontal="center"/>
    </xf>
    <xf numFmtId="9" fontId="6" fillId="0" borderId="99" xfId="3" applyFont="1" applyBorder="1" applyAlignment="1">
      <alignment horizontal="center"/>
    </xf>
    <xf numFmtId="170" fontId="6" fillId="3" borderId="40" xfId="9" applyNumberFormat="1" applyFont="1" applyFill="1" applyBorder="1" applyAlignment="1">
      <alignment horizontal="center"/>
    </xf>
    <xf numFmtId="172" fontId="10" fillId="0" borderId="6" xfId="3" applyNumberFormat="1" applyFont="1" applyFill="1" applyBorder="1" applyAlignment="1">
      <alignment horizontal="center" vertical="center"/>
    </xf>
    <xf numFmtId="172" fontId="10" fillId="0" borderId="89" xfId="3" applyNumberFormat="1" applyFont="1" applyFill="1" applyBorder="1" applyAlignment="1">
      <alignment horizontal="center" vertical="center"/>
    </xf>
    <xf numFmtId="0" fontId="50" fillId="2" borderId="164" xfId="0" applyFont="1" applyFill="1" applyBorder="1" applyAlignment="1">
      <alignment vertical="center"/>
    </xf>
    <xf numFmtId="0" fontId="50" fillId="2" borderId="160" xfId="0" applyFont="1" applyFill="1" applyBorder="1" applyAlignment="1">
      <alignment vertical="center"/>
    </xf>
    <xf numFmtId="0" fontId="50" fillId="2" borderId="125" xfId="0" applyFont="1" applyFill="1" applyBorder="1" applyAlignment="1">
      <alignment vertical="center"/>
    </xf>
    <xf numFmtId="3" fontId="11" fillId="0" borderId="89" xfId="0" applyNumberFormat="1" applyFont="1" applyBorder="1" applyAlignment="1">
      <alignment horizontal="center" vertical="center"/>
    </xf>
    <xf numFmtId="3" fontId="11" fillId="0" borderId="169" xfId="0" applyNumberFormat="1" applyFont="1" applyBorder="1" applyAlignment="1">
      <alignment horizontal="center" vertical="center"/>
    </xf>
    <xf numFmtId="0" fontId="6" fillId="3" borderId="0" xfId="0" applyFont="1" applyFill="1"/>
    <xf numFmtId="3" fontId="11" fillId="4" borderId="7" xfId="0" applyNumberFormat="1" applyFont="1" applyFill="1" applyBorder="1" applyAlignment="1">
      <alignment horizontal="center" vertical="center"/>
    </xf>
    <xf numFmtId="3" fontId="11" fillId="4" borderId="18" xfId="0" applyNumberFormat="1" applyFont="1" applyFill="1" applyBorder="1" applyAlignment="1">
      <alignment horizontal="center" vertical="center"/>
    </xf>
    <xf numFmtId="172" fontId="11" fillId="4" borderId="29" xfId="3" applyNumberFormat="1" applyFont="1" applyFill="1" applyBorder="1" applyAlignment="1">
      <alignment horizontal="center" vertical="center"/>
    </xf>
    <xf numFmtId="172" fontId="11" fillId="4" borderId="34" xfId="3" applyNumberFormat="1" applyFont="1" applyFill="1" applyBorder="1" applyAlignment="1">
      <alignment horizontal="center" vertical="center"/>
    </xf>
    <xf numFmtId="3" fontId="26" fillId="59" borderId="40" xfId="0" applyNumberFormat="1" applyFont="1" applyFill="1" applyBorder="1" applyAlignment="1">
      <alignment horizontal="center" vertical="center" wrapText="1"/>
    </xf>
    <xf numFmtId="0" fontId="6" fillId="0" borderId="38" xfId="0" applyFont="1" applyBorder="1"/>
    <xf numFmtId="0" fontId="18" fillId="2" borderId="157" xfId="0" applyFont="1" applyFill="1" applyBorder="1" applyAlignment="1">
      <alignment horizontal="center" vertical="center"/>
    </xf>
    <xf numFmtId="9" fontId="26" fillId="59" borderId="128" xfId="3" applyFont="1" applyFill="1" applyBorder="1" applyAlignment="1">
      <alignment horizontal="center" vertical="center" wrapText="1"/>
    </xf>
    <xf numFmtId="0" fontId="18" fillId="3" borderId="131" xfId="0" applyFont="1" applyFill="1" applyBorder="1" applyAlignment="1">
      <alignment horizontal="center"/>
    </xf>
    <xf numFmtId="0" fontId="18" fillId="3" borderId="131" xfId="0" applyFont="1" applyFill="1" applyBorder="1" applyAlignment="1">
      <alignment horizontal="center" vertical="center" wrapText="1"/>
    </xf>
    <xf numFmtId="3" fontId="11" fillId="3" borderId="131" xfId="3" applyNumberFormat="1" applyFont="1" applyFill="1" applyBorder="1" applyAlignment="1">
      <alignment horizontal="center" vertical="center"/>
    </xf>
    <xf numFmtId="3" fontId="11" fillId="3" borderId="131" xfId="0" applyNumberFormat="1" applyFont="1" applyFill="1" applyBorder="1" applyAlignment="1">
      <alignment horizontal="center" vertical="center"/>
    </xf>
    <xf numFmtId="172" fontId="11" fillId="3" borderId="131" xfId="3" applyNumberFormat="1" applyFont="1" applyFill="1" applyBorder="1" applyAlignment="1">
      <alignment horizontal="center" vertical="center"/>
    </xf>
    <xf numFmtId="3" fontId="11" fillId="0" borderId="5" xfId="0" applyNumberFormat="1" applyFont="1" applyBorder="1" applyAlignment="1">
      <alignment horizontal="center" vertical="center"/>
    </xf>
    <xf numFmtId="172" fontId="11" fillId="4" borderId="1" xfId="3" applyNumberFormat="1" applyFont="1" applyFill="1" applyBorder="1" applyAlignment="1">
      <alignment horizontal="center" vertical="center"/>
    </xf>
    <xf numFmtId="0" fontId="6" fillId="0" borderId="1" xfId="0" applyFont="1" applyBorder="1"/>
    <xf numFmtId="182" fontId="6" fillId="3" borderId="37" xfId="0" applyNumberFormat="1" applyFont="1" applyFill="1" applyBorder="1" applyAlignment="1">
      <alignment horizontal="center" vertical="center"/>
    </xf>
    <xf numFmtId="0" fontId="0" fillId="0" borderId="0" xfId="0" applyAlignment="1">
      <alignment horizontal="left" vertical="center"/>
    </xf>
    <xf numFmtId="0" fontId="61" fillId="0" borderId="0" xfId="0" applyFont="1" applyAlignment="1">
      <alignment horizontal="center" vertical="center" wrapText="1"/>
    </xf>
    <xf numFmtId="0" fontId="56" fillId="55" borderId="297" xfId="9" applyFont="1" applyFill="1" applyBorder="1" applyAlignment="1">
      <alignment horizontal="center" vertical="top"/>
    </xf>
    <xf numFmtId="0" fontId="56" fillId="55" borderId="298" xfId="9" applyFont="1" applyFill="1" applyBorder="1" applyAlignment="1">
      <alignment horizontal="center" vertical="top"/>
    </xf>
    <xf numFmtId="3" fontId="53" fillId="54" borderId="79" xfId="9" applyNumberFormat="1" applyFont="1" applyFill="1" applyBorder="1" applyAlignment="1">
      <alignment horizontal="center" vertical="top"/>
    </xf>
    <xf numFmtId="3" fontId="53" fillId="54" borderId="262" xfId="9" applyNumberFormat="1" applyFont="1" applyFill="1" applyBorder="1" applyAlignment="1">
      <alignment horizontal="center" vertical="top"/>
    </xf>
    <xf numFmtId="3" fontId="53" fillId="54" borderId="19" xfId="9" applyNumberFormat="1" applyFont="1" applyFill="1" applyBorder="1" applyAlignment="1">
      <alignment horizontal="center" vertical="top"/>
    </xf>
    <xf numFmtId="3" fontId="53" fillId="54" borderId="87" xfId="9" applyNumberFormat="1" applyFont="1" applyFill="1" applyBorder="1" applyAlignment="1">
      <alignment horizontal="center" vertical="top"/>
    </xf>
    <xf numFmtId="3" fontId="53" fillId="54" borderId="299" xfId="9" applyNumberFormat="1" applyFont="1" applyFill="1" applyBorder="1" applyAlignment="1">
      <alignment horizontal="center" vertical="top"/>
    </xf>
    <xf numFmtId="0" fontId="56" fillId="55" borderId="271" xfId="9" applyFont="1" applyFill="1" applyBorder="1" applyAlignment="1">
      <alignment horizontal="center" vertical="top"/>
    </xf>
    <xf numFmtId="3" fontId="53" fillId="54" borderId="300" xfId="9" applyNumberFormat="1" applyFont="1" applyFill="1" applyBorder="1" applyAlignment="1">
      <alignment horizontal="center" vertical="top"/>
    </xf>
    <xf numFmtId="3" fontId="53" fillId="54" borderId="260" xfId="9" applyNumberFormat="1" applyFont="1" applyFill="1" applyBorder="1" applyAlignment="1">
      <alignment horizontal="center" vertical="top"/>
    </xf>
    <xf numFmtId="3" fontId="53" fillId="54" borderId="249" xfId="9" applyNumberFormat="1" applyFont="1" applyFill="1" applyBorder="1" applyAlignment="1">
      <alignment horizontal="center" vertical="top"/>
    </xf>
    <xf numFmtId="0" fontId="56" fillId="55" borderId="303" xfId="9" applyFont="1" applyFill="1" applyBorder="1" applyAlignment="1">
      <alignment horizontal="center" vertical="top"/>
    </xf>
    <xf numFmtId="3" fontId="53" fillId="3" borderId="125" xfId="9" applyNumberFormat="1" applyFont="1" applyFill="1" applyBorder="1" applyAlignment="1">
      <alignment horizontal="center" vertical="top"/>
    </xf>
    <xf numFmtId="3" fontId="53" fillId="3" borderId="34" xfId="9" applyNumberFormat="1" applyFont="1" applyFill="1" applyBorder="1" applyAlignment="1">
      <alignment horizontal="center" vertical="top"/>
    </xf>
    <xf numFmtId="3" fontId="53" fillId="3" borderId="43" xfId="9" applyNumberFormat="1" applyFont="1" applyFill="1" applyBorder="1" applyAlignment="1">
      <alignment horizontal="center" vertical="top"/>
    </xf>
    <xf numFmtId="3" fontId="53" fillId="3" borderId="85" xfId="9" applyNumberFormat="1" applyFont="1" applyFill="1" applyBorder="1" applyAlignment="1">
      <alignment horizontal="center" vertical="top"/>
    </xf>
    <xf numFmtId="3" fontId="53" fillId="3" borderId="35" xfId="9" applyNumberFormat="1" applyFont="1" applyFill="1" applyBorder="1" applyAlignment="1">
      <alignment horizontal="center" vertical="top"/>
    </xf>
    <xf numFmtId="3" fontId="53" fillId="54" borderId="84" xfId="9" applyNumberFormat="1" applyFont="1" applyFill="1" applyBorder="1" applyAlignment="1">
      <alignment horizontal="center" vertical="top"/>
    </xf>
    <xf numFmtId="0" fontId="53" fillId="0" borderId="301" xfId="9" applyFont="1" applyBorder="1" applyAlignment="1">
      <alignment horizontal="center"/>
    </xf>
    <xf numFmtId="0" fontId="53" fillId="0" borderId="252" xfId="9" applyFont="1" applyBorder="1" applyAlignment="1">
      <alignment horizontal="center"/>
    </xf>
    <xf numFmtId="3" fontId="53" fillId="3" borderId="0" xfId="9" applyNumberFormat="1" applyFont="1" applyFill="1" applyAlignment="1">
      <alignment horizontal="center" vertical="top"/>
    </xf>
    <xf numFmtId="3" fontId="53" fillId="54" borderId="304" xfId="9" applyNumberFormat="1" applyFont="1" applyFill="1" applyBorder="1" applyAlignment="1">
      <alignment horizontal="center" vertical="top"/>
    </xf>
    <xf numFmtId="0" fontId="53" fillId="0" borderId="301" xfId="9" applyFont="1" applyBorder="1" applyAlignment="1">
      <alignment horizontal="center" vertical="top"/>
    </xf>
    <xf numFmtId="0" fontId="52" fillId="0" borderId="31" xfId="9" applyBorder="1" applyAlignment="1">
      <alignment horizontal="center"/>
    </xf>
    <xf numFmtId="0" fontId="50" fillId="55" borderId="297" xfId="9" applyFont="1" applyFill="1" applyBorder="1" applyAlignment="1">
      <alignment horizontal="center" vertical="top"/>
    </xf>
    <xf numFmtId="172" fontId="53" fillId="54" borderId="279" xfId="3" applyNumberFormat="1" applyFont="1" applyFill="1" applyBorder="1" applyAlignment="1">
      <alignment horizontal="center" vertical="top"/>
    </xf>
    <xf numFmtId="172" fontId="53" fillId="54" borderId="278" xfId="3" applyNumberFormat="1" applyFont="1" applyFill="1" applyBorder="1" applyAlignment="1">
      <alignment horizontal="center" vertical="top"/>
    </xf>
    <xf numFmtId="172" fontId="53" fillId="54" borderId="280" xfId="3" applyNumberFormat="1" applyFont="1" applyFill="1" applyBorder="1" applyAlignment="1">
      <alignment horizontal="center" vertical="top"/>
    </xf>
    <xf numFmtId="172" fontId="53" fillId="54" borderId="264" xfId="3" applyNumberFormat="1" applyFont="1" applyFill="1" applyBorder="1" applyAlignment="1">
      <alignment horizontal="center" vertical="top"/>
    </xf>
    <xf numFmtId="172" fontId="53" fillId="54" borderId="33" xfId="3" applyNumberFormat="1" applyFont="1" applyFill="1" applyBorder="1" applyAlignment="1">
      <alignment horizontal="center" vertical="top"/>
    </xf>
    <xf numFmtId="172" fontId="53" fillId="54" borderId="35" xfId="3" applyNumberFormat="1" applyFont="1" applyFill="1" applyBorder="1" applyAlignment="1">
      <alignment horizontal="center" vertical="top"/>
    </xf>
    <xf numFmtId="172" fontId="53" fillId="54" borderId="86" xfId="3" applyNumberFormat="1" applyFont="1" applyFill="1" applyBorder="1" applyAlignment="1">
      <alignment horizontal="center" vertical="top"/>
    </xf>
    <xf numFmtId="172" fontId="53" fillId="54" borderId="40" xfId="3" applyNumberFormat="1" applyFont="1" applyFill="1" applyBorder="1" applyAlignment="1">
      <alignment horizontal="center" vertical="top"/>
    </xf>
    <xf numFmtId="172" fontId="53" fillId="54" borderId="128" xfId="3" applyNumberFormat="1" applyFont="1" applyFill="1" applyBorder="1" applyAlignment="1">
      <alignment horizontal="center" vertical="top"/>
    </xf>
    <xf numFmtId="172" fontId="53" fillId="0" borderId="0" xfId="9" applyNumberFormat="1" applyFont="1" applyAlignment="1">
      <alignment horizontal="center"/>
    </xf>
    <xf numFmtId="172" fontId="56" fillId="55" borderId="297" xfId="9" applyNumberFormat="1" applyFont="1" applyFill="1" applyBorder="1" applyAlignment="1">
      <alignment horizontal="center" vertical="top"/>
    </xf>
    <xf numFmtId="172" fontId="53" fillId="0" borderId="301" xfId="9" applyNumberFormat="1" applyFont="1" applyBorder="1" applyAlignment="1">
      <alignment horizontal="center" vertical="top"/>
    </xf>
    <xf numFmtId="172" fontId="53" fillId="54" borderId="305" xfId="3" applyNumberFormat="1" applyFont="1" applyFill="1" applyBorder="1" applyAlignment="1">
      <alignment horizontal="center" vertical="top"/>
    </xf>
    <xf numFmtId="172" fontId="53" fillId="0" borderId="252" xfId="9" applyNumberFormat="1" applyFont="1" applyBorder="1" applyAlignment="1">
      <alignment horizontal="center"/>
    </xf>
    <xf numFmtId="172" fontId="53" fillId="0" borderId="0" xfId="3" applyNumberFormat="1" applyFont="1" applyAlignment="1">
      <alignment horizontal="center"/>
    </xf>
    <xf numFmtId="3" fontId="53" fillId="54" borderId="281" xfId="9" applyNumberFormat="1" applyFont="1" applyFill="1" applyBorder="1" applyAlignment="1">
      <alignment horizontal="center" vertical="top"/>
    </xf>
    <xf numFmtId="177" fontId="56" fillId="56" borderId="271" xfId="9" applyNumberFormat="1" applyFont="1" applyFill="1" applyBorder="1" applyAlignment="1">
      <alignment horizontal="center" vertical="top"/>
    </xf>
    <xf numFmtId="3" fontId="53" fillId="54" borderId="248" xfId="9" applyNumberFormat="1" applyFont="1" applyFill="1" applyBorder="1" applyAlignment="1">
      <alignment horizontal="center" vertical="top"/>
    </xf>
    <xf numFmtId="3" fontId="53" fillId="54" borderId="282" xfId="9" applyNumberFormat="1" applyFont="1" applyFill="1" applyBorder="1" applyAlignment="1">
      <alignment horizontal="center" vertical="top"/>
    </xf>
    <xf numFmtId="3" fontId="53" fillId="0" borderId="18" xfId="9" applyNumberFormat="1" applyFont="1" applyBorder="1" applyAlignment="1">
      <alignment horizontal="center" vertical="top"/>
    </xf>
    <xf numFmtId="3" fontId="53" fillId="0" borderId="279" xfId="9" applyNumberFormat="1" applyFont="1" applyBorder="1" applyAlignment="1">
      <alignment horizontal="center" vertical="top"/>
    </xf>
    <xf numFmtId="172" fontId="53" fillId="54" borderId="22" xfId="3" applyNumberFormat="1" applyFont="1" applyFill="1" applyBorder="1" applyAlignment="1">
      <alignment horizontal="center" vertical="top"/>
    </xf>
    <xf numFmtId="3" fontId="53" fillId="54" borderId="4" xfId="9" applyNumberFormat="1" applyFont="1" applyFill="1" applyBorder="1" applyAlignment="1">
      <alignment horizontal="center" vertical="top"/>
    </xf>
    <xf numFmtId="177" fontId="56" fillId="56" borderId="80" xfId="9" applyNumberFormat="1" applyFont="1" applyFill="1" applyBorder="1" applyAlignment="1">
      <alignment horizontal="center" vertical="top"/>
    </xf>
    <xf numFmtId="172" fontId="56" fillId="56" borderId="297" xfId="9" applyNumberFormat="1" applyFont="1" applyFill="1" applyBorder="1" applyAlignment="1">
      <alignment horizontal="center" vertical="top"/>
    </xf>
    <xf numFmtId="172" fontId="50" fillId="56" borderId="297" xfId="9" applyNumberFormat="1" applyFont="1" applyFill="1" applyBorder="1" applyAlignment="1">
      <alignment horizontal="center" vertical="top"/>
    </xf>
    <xf numFmtId="177" fontId="50" fillId="56" borderId="160" xfId="9" applyNumberFormat="1" applyFont="1" applyFill="1" applyBorder="1" applyAlignment="1">
      <alignment horizontal="center" vertical="top"/>
    </xf>
    <xf numFmtId="177" fontId="50" fillId="56" borderId="93" xfId="9" applyNumberFormat="1" applyFont="1" applyFill="1" applyBorder="1" applyAlignment="1">
      <alignment horizontal="center" vertical="top"/>
    </xf>
    <xf numFmtId="177" fontId="50" fillId="56" borderId="43" xfId="9" applyNumberFormat="1" applyFont="1" applyFill="1" applyBorder="1" applyAlignment="1">
      <alignment horizontal="center" vertical="top"/>
    </xf>
    <xf numFmtId="0" fontId="56" fillId="56" borderId="128" xfId="9" applyFont="1" applyFill="1" applyBorder="1" applyAlignment="1">
      <alignment horizontal="center" vertical="top"/>
    </xf>
    <xf numFmtId="0" fontId="56" fillId="56" borderId="164" xfId="9" applyFont="1" applyFill="1" applyBorder="1" applyAlignment="1">
      <alignment horizontal="center" vertical="top"/>
    </xf>
    <xf numFmtId="177" fontId="56" fillId="55" borderId="38" xfId="9" applyNumberFormat="1" applyFont="1" applyFill="1" applyBorder="1" applyAlignment="1">
      <alignment horizontal="center" vertical="top"/>
    </xf>
    <xf numFmtId="3" fontId="53" fillId="3" borderId="308" xfId="9" applyNumberFormat="1" applyFont="1" applyFill="1" applyBorder="1" applyAlignment="1">
      <alignment horizontal="center" vertical="top"/>
    </xf>
    <xf numFmtId="3" fontId="53" fillId="3" borderId="309" xfId="9" applyNumberFormat="1" applyFont="1" applyFill="1" applyBorder="1" applyAlignment="1">
      <alignment horizontal="center" vertical="top"/>
    </xf>
    <xf numFmtId="172" fontId="53" fillId="0" borderId="15" xfId="9" applyNumberFormat="1" applyFont="1" applyBorder="1" applyAlignment="1">
      <alignment horizontal="center" vertical="top"/>
    </xf>
    <xf numFmtId="3" fontId="53" fillId="3" borderId="310" xfId="9" applyNumberFormat="1" applyFont="1" applyFill="1" applyBorder="1" applyAlignment="1">
      <alignment horizontal="center" vertical="top"/>
    </xf>
    <xf numFmtId="3" fontId="53" fillId="3" borderId="311" xfId="9" applyNumberFormat="1" applyFont="1" applyFill="1" applyBorder="1" applyAlignment="1">
      <alignment horizontal="center" vertical="top"/>
    </xf>
    <xf numFmtId="172" fontId="53" fillId="0" borderId="7" xfId="9" applyNumberFormat="1" applyFont="1" applyBorder="1" applyAlignment="1">
      <alignment horizontal="center" vertical="top"/>
    </xf>
    <xf numFmtId="172" fontId="53" fillId="0" borderId="6" xfId="9" applyNumberFormat="1" applyFont="1" applyBorder="1" applyAlignment="1">
      <alignment horizontal="center" vertical="top"/>
    </xf>
    <xf numFmtId="172" fontId="53" fillId="0" borderId="3" xfId="9" applyNumberFormat="1" applyFont="1" applyBorder="1" applyAlignment="1">
      <alignment horizontal="center" vertical="top"/>
    </xf>
    <xf numFmtId="3" fontId="53" fillId="3" borderId="160" xfId="9" applyNumberFormat="1" applyFont="1" applyFill="1" applyBorder="1" applyAlignment="1">
      <alignment horizontal="center" vertical="top"/>
    </xf>
    <xf numFmtId="3" fontId="53" fillId="3" borderId="312" xfId="9" applyNumberFormat="1" applyFont="1" applyFill="1" applyBorder="1" applyAlignment="1">
      <alignment horizontal="center" vertical="top"/>
    </xf>
    <xf numFmtId="3" fontId="53" fillId="3" borderId="313" xfId="9" applyNumberFormat="1" applyFont="1" applyFill="1" applyBorder="1" applyAlignment="1">
      <alignment horizontal="center" vertical="top"/>
    </xf>
    <xf numFmtId="3" fontId="53" fillId="3" borderId="7" xfId="9" applyNumberFormat="1" applyFont="1" applyFill="1" applyBorder="1" applyAlignment="1">
      <alignment horizontal="center" vertical="top"/>
    </xf>
    <xf numFmtId="3" fontId="53" fillId="3" borderId="79" xfId="9" applyNumberFormat="1" applyFont="1" applyFill="1" applyBorder="1" applyAlignment="1">
      <alignment horizontal="center" vertical="top"/>
    </xf>
    <xf numFmtId="3" fontId="53" fillId="3" borderId="84" xfId="9" applyNumberFormat="1" applyFont="1" applyFill="1" applyBorder="1" applyAlignment="1">
      <alignment horizontal="center" vertical="top"/>
    </xf>
    <xf numFmtId="3" fontId="53" fillId="3" borderId="6" xfId="9" applyNumberFormat="1" applyFont="1" applyFill="1" applyBorder="1" applyAlignment="1">
      <alignment horizontal="center" vertical="top"/>
    </xf>
    <xf numFmtId="3" fontId="53" fillId="3" borderId="283" xfId="9" applyNumberFormat="1" applyFont="1" applyFill="1" applyBorder="1" applyAlignment="1">
      <alignment horizontal="center" vertical="top"/>
    </xf>
    <xf numFmtId="3" fontId="53" fillId="3" borderId="281" xfId="9" applyNumberFormat="1" applyFont="1" applyFill="1" applyBorder="1" applyAlignment="1">
      <alignment horizontal="center" vertical="top"/>
    </xf>
    <xf numFmtId="3" fontId="53" fillId="3" borderId="248" xfId="9" applyNumberFormat="1" applyFont="1" applyFill="1" applyBorder="1" applyAlignment="1">
      <alignment horizontal="center" vertical="top"/>
    </xf>
    <xf numFmtId="3" fontId="53" fillId="3" borderId="251" xfId="9" applyNumberFormat="1" applyFont="1" applyFill="1" applyBorder="1" applyAlignment="1">
      <alignment horizontal="center" vertical="top"/>
    </xf>
    <xf numFmtId="3" fontId="53" fillId="3" borderId="249" xfId="9" applyNumberFormat="1" applyFont="1" applyFill="1" applyBorder="1" applyAlignment="1">
      <alignment horizontal="center" vertical="top"/>
    </xf>
    <xf numFmtId="3" fontId="53" fillId="3" borderId="314" xfId="9" applyNumberFormat="1" applyFont="1" applyFill="1" applyBorder="1" applyAlignment="1">
      <alignment horizontal="center" vertical="top"/>
    </xf>
    <xf numFmtId="3" fontId="53" fillId="3" borderId="315" xfId="9" applyNumberFormat="1" applyFont="1" applyFill="1" applyBorder="1" applyAlignment="1">
      <alignment horizontal="center" vertical="top"/>
    </xf>
    <xf numFmtId="3" fontId="53" fillId="3" borderId="316" xfId="9" applyNumberFormat="1" applyFont="1" applyFill="1" applyBorder="1" applyAlignment="1">
      <alignment horizontal="center" vertical="top"/>
    </xf>
    <xf numFmtId="3" fontId="53" fillId="3" borderId="306" xfId="9" applyNumberFormat="1" applyFont="1" applyFill="1" applyBorder="1" applyAlignment="1">
      <alignment horizontal="center" vertical="top"/>
    </xf>
    <xf numFmtId="0" fontId="53" fillId="0" borderId="15" xfId="9" applyFont="1" applyBorder="1" applyAlignment="1">
      <alignment horizontal="center" vertical="top"/>
    </xf>
    <xf numFmtId="0" fontId="56" fillId="56" borderId="86" xfId="9" applyFont="1" applyFill="1" applyBorder="1" applyAlignment="1">
      <alignment horizontal="center" vertical="top"/>
    </xf>
    <xf numFmtId="3" fontId="53" fillId="0" borderId="167" xfId="9" applyNumberFormat="1" applyFont="1" applyBorder="1" applyAlignment="1">
      <alignment horizontal="center" vertical="top"/>
    </xf>
    <xf numFmtId="3" fontId="53" fillId="0" borderId="307" xfId="9" applyNumberFormat="1" applyFont="1" applyBorder="1" applyAlignment="1">
      <alignment horizontal="center" vertical="top"/>
    </xf>
    <xf numFmtId="0" fontId="53" fillId="0" borderId="89" xfId="9" applyFont="1" applyBorder="1" applyAlignment="1">
      <alignment horizontal="center" vertical="top"/>
    </xf>
    <xf numFmtId="0" fontId="52" fillId="0" borderId="43" xfId="9" applyBorder="1" applyAlignment="1">
      <alignment horizontal="center"/>
    </xf>
    <xf numFmtId="0" fontId="6" fillId="0" borderId="43" xfId="9" applyFont="1" applyBorder="1" applyAlignment="1">
      <alignment horizontal="center"/>
    </xf>
    <xf numFmtId="0" fontId="56" fillId="55" borderId="37" xfId="9" applyFont="1" applyFill="1" applyBorder="1" applyAlignment="1">
      <alignment horizontal="center" vertical="top"/>
    </xf>
    <xf numFmtId="177" fontId="50" fillId="56" borderId="37" xfId="9" applyNumberFormat="1" applyFont="1" applyFill="1" applyBorder="1" applyAlignment="1">
      <alignment horizontal="center" vertical="top"/>
    </xf>
    <xf numFmtId="177" fontId="50" fillId="56" borderId="34" xfId="9" applyNumberFormat="1" applyFont="1" applyFill="1" applyBorder="1" applyAlignment="1">
      <alignment horizontal="center" vertical="top"/>
    </xf>
    <xf numFmtId="177" fontId="50" fillId="56" borderId="129" xfId="9" applyNumberFormat="1" applyFont="1" applyFill="1" applyBorder="1" applyAlignment="1">
      <alignment horizontal="center" vertical="top"/>
    </xf>
    <xf numFmtId="0" fontId="56" fillId="56" borderId="304" xfId="9" applyFont="1" applyFill="1" applyBorder="1" applyAlignment="1">
      <alignment horizontal="center" vertical="top"/>
    </xf>
    <xf numFmtId="177" fontId="56" fillId="55" borderId="34" xfId="9" applyNumberFormat="1" applyFont="1" applyFill="1" applyBorder="1" applyAlignment="1">
      <alignment horizontal="center" vertical="top"/>
    </xf>
    <xf numFmtId="177" fontId="56" fillId="55" borderId="37" xfId="9" applyNumberFormat="1" applyFont="1" applyFill="1" applyBorder="1" applyAlignment="1">
      <alignment horizontal="center" vertical="top"/>
    </xf>
    <xf numFmtId="0" fontId="56" fillId="55" borderId="84" xfId="9" applyFont="1" applyFill="1" applyBorder="1" applyAlignment="1">
      <alignment horizontal="center" vertical="top"/>
    </xf>
    <xf numFmtId="0" fontId="56" fillId="55" borderId="86" xfId="9" applyFont="1" applyFill="1" applyBorder="1" applyAlignment="1">
      <alignment horizontal="center" vertical="top"/>
    </xf>
    <xf numFmtId="177" fontId="56" fillId="55" borderId="84" xfId="9" applyNumberFormat="1" applyFont="1" applyFill="1" applyBorder="1" applyAlignment="1">
      <alignment horizontal="center" vertical="top"/>
    </xf>
    <xf numFmtId="0" fontId="6" fillId="0" borderId="0" xfId="9" applyFont="1" applyAlignment="1">
      <alignment vertical="top" wrapText="1"/>
    </xf>
    <xf numFmtId="172" fontId="53" fillId="0" borderId="301" xfId="3" applyNumberFormat="1" applyFont="1" applyBorder="1" applyAlignment="1">
      <alignment horizontal="center" vertical="top"/>
    </xf>
    <xf numFmtId="0" fontId="6" fillId="0" borderId="31" xfId="9" applyFont="1" applyBorder="1" applyAlignment="1">
      <alignment horizontal="center"/>
    </xf>
    <xf numFmtId="0" fontId="53" fillId="0" borderId="0" xfId="9" applyFont="1" applyAlignment="1">
      <alignment horizontal="center" vertical="center"/>
    </xf>
    <xf numFmtId="0" fontId="56" fillId="56" borderId="132" xfId="9" applyFont="1" applyFill="1" applyBorder="1" applyAlignment="1">
      <alignment horizontal="center" vertical="center"/>
    </xf>
    <xf numFmtId="0" fontId="53" fillId="0" borderId="38" xfId="9" applyFont="1" applyBorder="1" applyAlignment="1">
      <alignment horizontal="center" vertical="center"/>
    </xf>
    <xf numFmtId="0" fontId="53" fillId="0" borderId="31" xfId="9" applyFont="1" applyBorder="1" applyAlignment="1">
      <alignment horizontal="center" vertical="center"/>
    </xf>
    <xf numFmtId="0" fontId="56" fillId="56" borderId="231" xfId="9" applyFont="1" applyFill="1" applyBorder="1" applyAlignment="1">
      <alignment horizontal="center" vertical="center"/>
    </xf>
    <xf numFmtId="0" fontId="56" fillId="56" borderId="218" xfId="9" applyFont="1" applyFill="1" applyBorder="1" applyAlignment="1">
      <alignment horizontal="center" vertical="center"/>
    </xf>
    <xf numFmtId="0" fontId="52" fillId="0" borderId="0" xfId="9" applyAlignment="1">
      <alignment horizontal="center" vertical="center"/>
    </xf>
    <xf numFmtId="0" fontId="56" fillId="56" borderId="20" xfId="9" applyFont="1" applyFill="1" applyBorder="1" applyAlignment="1">
      <alignment horizontal="center" vertical="center"/>
    </xf>
    <xf numFmtId="3" fontId="53" fillId="0" borderId="295" xfId="9" applyNumberFormat="1" applyFont="1" applyBorder="1" applyAlignment="1">
      <alignment horizontal="center" vertical="top"/>
    </xf>
    <xf numFmtId="177" fontId="56" fillId="56" borderId="319" xfId="9" applyNumberFormat="1" applyFont="1" applyFill="1" applyBorder="1" applyAlignment="1">
      <alignment horizontal="center" vertical="top"/>
    </xf>
    <xf numFmtId="3" fontId="53" fillId="54" borderId="320" xfId="9" applyNumberFormat="1" applyFont="1" applyFill="1" applyBorder="1" applyAlignment="1">
      <alignment horizontal="center" vertical="top"/>
    </xf>
    <xf numFmtId="0" fontId="56" fillId="55" borderId="273" xfId="9" applyFont="1" applyFill="1" applyBorder="1" applyAlignment="1">
      <alignment horizontal="center" vertical="top"/>
    </xf>
    <xf numFmtId="3" fontId="53" fillId="54" borderId="81" xfId="9" applyNumberFormat="1" applyFont="1" applyFill="1" applyBorder="1" applyAlignment="1">
      <alignment horizontal="center" vertical="top"/>
    </xf>
    <xf numFmtId="3" fontId="53" fillId="54" borderId="37" xfId="9" applyNumberFormat="1" applyFont="1" applyFill="1" applyBorder="1" applyAlignment="1">
      <alignment horizontal="center" vertical="top"/>
    </xf>
    <xf numFmtId="177" fontId="50" fillId="56" borderId="164" xfId="9" applyNumberFormat="1" applyFont="1" applyFill="1" applyBorder="1" applyAlignment="1">
      <alignment horizontal="center" vertical="top"/>
    </xf>
    <xf numFmtId="0" fontId="53" fillId="0" borderId="130" xfId="9" applyFont="1" applyBorder="1" applyAlignment="1">
      <alignment horizontal="center" vertical="top"/>
    </xf>
    <xf numFmtId="0" fontId="53" fillId="0" borderId="160" xfId="9" applyFont="1" applyBorder="1" applyAlignment="1">
      <alignment horizontal="center" vertical="top"/>
    </xf>
    <xf numFmtId="0" fontId="53" fillId="0" borderId="125" xfId="9" applyFont="1" applyBorder="1" applyAlignment="1">
      <alignment horizontal="center" vertical="top"/>
    </xf>
    <xf numFmtId="177" fontId="56" fillId="56" borderId="273" xfId="9" applyNumberFormat="1" applyFont="1" applyFill="1" applyBorder="1" applyAlignment="1">
      <alignment horizontal="center" vertical="top"/>
    </xf>
    <xf numFmtId="3" fontId="53" fillId="54" borderId="6" xfId="9" applyNumberFormat="1" applyFont="1" applyFill="1" applyBorder="1" applyAlignment="1">
      <alignment horizontal="center" vertical="top"/>
    </xf>
    <xf numFmtId="177" fontId="50" fillId="56" borderId="159" xfId="9" applyNumberFormat="1" applyFont="1" applyFill="1" applyBorder="1" applyAlignment="1">
      <alignment horizontal="center" vertical="top"/>
    </xf>
    <xf numFmtId="177" fontId="50" fillId="56" borderId="158" xfId="9" applyNumberFormat="1" applyFont="1" applyFill="1" applyBorder="1" applyAlignment="1">
      <alignment horizontal="center" vertical="top"/>
    </xf>
    <xf numFmtId="177" fontId="50" fillId="56" borderId="38" xfId="9" applyNumberFormat="1" applyFont="1" applyFill="1" applyBorder="1" applyAlignment="1">
      <alignment horizontal="center" vertical="top"/>
    </xf>
    <xf numFmtId="0" fontId="53" fillId="0" borderId="93" xfId="9" applyFont="1" applyBorder="1" applyAlignment="1">
      <alignment horizontal="center" vertical="top"/>
    </xf>
    <xf numFmtId="0" fontId="56" fillId="56" borderId="196" xfId="9" applyFont="1" applyFill="1" applyBorder="1" applyAlignment="1">
      <alignment horizontal="center" vertical="center"/>
    </xf>
    <xf numFmtId="172" fontId="53" fillId="0" borderId="160" xfId="9" applyNumberFormat="1" applyFont="1" applyBorder="1" applyAlignment="1">
      <alignment horizontal="center" vertical="top"/>
    </xf>
    <xf numFmtId="172" fontId="53" fillId="0" borderId="93" xfId="9" applyNumberFormat="1" applyFont="1" applyBorder="1" applyAlignment="1">
      <alignment horizontal="center" vertical="top"/>
    </xf>
    <xf numFmtId="172" fontId="53" fillId="0" borderId="34" xfId="9" applyNumberFormat="1" applyFont="1" applyBorder="1" applyAlignment="1">
      <alignment horizontal="center" vertical="top"/>
    </xf>
    <xf numFmtId="172" fontId="53" fillId="0" borderId="37" xfId="9" applyNumberFormat="1" applyFont="1" applyBorder="1" applyAlignment="1">
      <alignment horizontal="center" vertical="top"/>
    </xf>
    <xf numFmtId="172" fontId="53" fillId="0" borderId="90" xfId="9" applyNumberFormat="1" applyFont="1" applyBorder="1" applyAlignment="1">
      <alignment horizontal="center" vertical="top"/>
    </xf>
    <xf numFmtId="172" fontId="53" fillId="0" borderId="43" xfId="9" applyNumberFormat="1" applyFont="1" applyBorder="1" applyAlignment="1">
      <alignment horizontal="center" vertical="top"/>
    </xf>
    <xf numFmtId="177" fontId="56" fillId="55" borderId="39" xfId="9" applyNumberFormat="1" applyFont="1" applyFill="1" applyBorder="1" applyAlignment="1">
      <alignment horizontal="center" vertical="top"/>
    </xf>
    <xf numFmtId="172" fontId="53" fillId="0" borderId="22" xfId="9" applyNumberFormat="1" applyFont="1" applyBorder="1" applyAlignment="1">
      <alignment horizontal="center" vertical="top"/>
    </xf>
    <xf numFmtId="172" fontId="53" fillId="0" borderId="86" xfId="9" applyNumberFormat="1" applyFont="1" applyBorder="1" applyAlignment="1">
      <alignment horizontal="center" vertical="top"/>
    </xf>
    <xf numFmtId="177" fontId="50" fillId="56" borderId="161" xfId="9" applyNumberFormat="1" applyFont="1" applyFill="1" applyBorder="1" applyAlignment="1">
      <alignment horizontal="center" vertical="top"/>
    </xf>
    <xf numFmtId="172" fontId="53" fillId="0" borderId="23" xfId="9" applyNumberFormat="1" applyFont="1" applyBorder="1" applyAlignment="1">
      <alignment horizontal="center" vertical="top"/>
    </xf>
    <xf numFmtId="0" fontId="56" fillId="56" borderId="39" xfId="9" applyFont="1" applyFill="1" applyBorder="1" applyAlignment="1">
      <alignment horizontal="center" vertical="center"/>
    </xf>
    <xf numFmtId="0" fontId="53" fillId="0" borderId="128" xfId="9" applyFont="1" applyBorder="1" applyAlignment="1">
      <alignment horizontal="center" vertical="center"/>
    </xf>
    <xf numFmtId="172" fontId="53" fillId="0" borderId="14" xfId="9" applyNumberFormat="1" applyFont="1" applyBorder="1" applyAlignment="1">
      <alignment horizontal="center" vertical="top"/>
    </xf>
    <xf numFmtId="172" fontId="53" fillId="0" borderId="156" xfId="9" applyNumberFormat="1" applyFont="1" applyBorder="1" applyAlignment="1">
      <alignment horizontal="center" vertical="top"/>
    </xf>
    <xf numFmtId="172" fontId="53" fillId="0" borderId="36" xfId="9" applyNumberFormat="1" applyFont="1" applyBorder="1" applyAlignment="1">
      <alignment horizontal="center" vertical="top"/>
    </xf>
    <xf numFmtId="0" fontId="53" fillId="0" borderId="38" xfId="9" applyFont="1" applyBorder="1" applyAlignment="1">
      <alignment horizontal="center" vertical="top"/>
    </xf>
    <xf numFmtId="172" fontId="53" fillId="0" borderId="129" xfId="9" applyNumberFormat="1" applyFont="1" applyBorder="1" applyAlignment="1">
      <alignment horizontal="center" vertical="top"/>
    </xf>
    <xf numFmtId="0" fontId="53" fillId="0" borderId="321" xfId="9" applyFont="1" applyBorder="1" applyAlignment="1">
      <alignment horizontal="center" vertical="top"/>
    </xf>
    <xf numFmtId="177" fontId="50" fillId="56" borderId="305" xfId="9" applyNumberFormat="1" applyFont="1" applyFill="1" applyBorder="1" applyAlignment="1">
      <alignment horizontal="center" vertical="top"/>
    </xf>
    <xf numFmtId="177" fontId="50" fillId="56" borderId="322" xfId="9" applyNumberFormat="1" applyFont="1" applyFill="1" applyBorder="1" applyAlignment="1">
      <alignment horizontal="center" vertical="top"/>
    </xf>
    <xf numFmtId="3" fontId="53" fillId="0" borderId="254" xfId="9" applyNumberFormat="1" applyFont="1" applyBorder="1" applyAlignment="1">
      <alignment horizontal="center" vertical="top"/>
    </xf>
    <xf numFmtId="0" fontId="53" fillId="0" borderId="37" xfId="9" applyFont="1" applyBorder="1" applyAlignment="1">
      <alignment horizontal="center" vertical="top"/>
    </xf>
    <xf numFmtId="177" fontId="50" fillId="56" borderId="39" xfId="9" applyNumberFormat="1" applyFont="1" applyFill="1" applyBorder="1" applyAlignment="1">
      <alignment horizontal="center" vertical="top"/>
    </xf>
    <xf numFmtId="0" fontId="53" fillId="0" borderId="128" xfId="9" applyFont="1" applyBorder="1" applyAlignment="1">
      <alignment horizontal="center" vertical="top"/>
    </xf>
    <xf numFmtId="0" fontId="53" fillId="0" borderId="28" xfId="9" applyFont="1" applyBorder="1" applyAlignment="1">
      <alignment horizontal="center" vertical="top"/>
    </xf>
    <xf numFmtId="0" fontId="50" fillId="56" borderId="95" xfId="9" applyFont="1" applyFill="1" applyBorder="1" applyAlignment="1">
      <alignment horizontal="center" vertical="center"/>
    </xf>
    <xf numFmtId="0" fontId="50" fillId="55" borderId="95" xfId="9" applyFont="1" applyFill="1" applyBorder="1" applyAlignment="1">
      <alignment horizontal="center" vertical="center"/>
    </xf>
    <xf numFmtId="0" fontId="50" fillId="56" borderId="130" xfId="9" applyFont="1" applyFill="1" applyBorder="1" applyAlignment="1">
      <alignment horizontal="center" vertical="center"/>
    </xf>
    <xf numFmtId="0" fontId="50" fillId="55" borderId="130" xfId="9" applyFont="1" applyFill="1" applyBorder="1" applyAlignment="1">
      <alignment horizontal="center" vertical="center"/>
    </xf>
    <xf numFmtId="0" fontId="50" fillId="56" borderId="232" xfId="9" applyFont="1" applyFill="1" applyBorder="1" applyAlignment="1">
      <alignment horizontal="center" vertical="center"/>
    </xf>
    <xf numFmtId="0" fontId="50" fillId="56" borderId="318" xfId="9" applyFont="1" applyFill="1" applyBorder="1" applyAlignment="1">
      <alignment horizontal="center" vertical="center"/>
    </xf>
    <xf numFmtId="3" fontId="53" fillId="54" borderId="169" xfId="9" applyNumberFormat="1" applyFont="1" applyFill="1" applyBorder="1" applyAlignment="1">
      <alignment horizontal="center" vertical="top"/>
    </xf>
    <xf numFmtId="3" fontId="53" fillId="54" borderId="265" xfId="9" applyNumberFormat="1" applyFont="1" applyFill="1" applyBorder="1" applyAlignment="1">
      <alignment horizontal="center" vertical="top"/>
    </xf>
    <xf numFmtId="3" fontId="53" fillId="54" borderId="291" xfId="9" applyNumberFormat="1" applyFont="1" applyFill="1" applyBorder="1" applyAlignment="1">
      <alignment horizontal="center" vertical="top"/>
    </xf>
    <xf numFmtId="3" fontId="53" fillId="54" borderId="323" xfId="9" applyNumberFormat="1" applyFont="1" applyFill="1" applyBorder="1" applyAlignment="1">
      <alignment horizontal="center" vertical="top"/>
    </xf>
    <xf numFmtId="3" fontId="53" fillId="54" borderId="30" xfId="9" applyNumberFormat="1" applyFont="1" applyFill="1" applyBorder="1" applyAlignment="1">
      <alignment horizontal="center" vertical="top"/>
    </xf>
    <xf numFmtId="177" fontId="50" fillId="56" borderId="157" xfId="9" applyNumberFormat="1" applyFont="1" applyFill="1" applyBorder="1" applyAlignment="1">
      <alignment horizontal="center" vertical="top"/>
    </xf>
    <xf numFmtId="0" fontId="53" fillId="0" borderId="42" xfId="9" applyFont="1" applyBorder="1" applyAlignment="1">
      <alignment horizontal="center" vertical="top"/>
    </xf>
    <xf numFmtId="0" fontId="53" fillId="0" borderId="99" xfId="9" applyFont="1" applyBorder="1" applyAlignment="1">
      <alignment horizontal="center" vertical="top"/>
    </xf>
    <xf numFmtId="0" fontId="53" fillId="0" borderId="97" xfId="9" applyFont="1" applyBorder="1" applyAlignment="1">
      <alignment horizontal="center" vertical="top"/>
    </xf>
    <xf numFmtId="0" fontId="53" fillId="0" borderId="4" xfId="9" applyFont="1" applyBorder="1" applyAlignment="1">
      <alignment horizontal="center" vertical="top"/>
    </xf>
    <xf numFmtId="0" fontId="53" fillId="0" borderId="169" xfId="9" applyFont="1" applyBorder="1" applyAlignment="1">
      <alignment horizontal="center" vertical="top"/>
    </xf>
    <xf numFmtId="0" fontId="53" fillId="0" borderId="164" xfId="9" applyFont="1" applyBorder="1" applyAlignment="1">
      <alignment horizontal="center" vertical="top"/>
    </xf>
    <xf numFmtId="177" fontId="56" fillId="55" borderId="129" xfId="9" applyNumberFormat="1" applyFont="1" applyFill="1" applyBorder="1" applyAlignment="1">
      <alignment horizontal="center" vertical="top"/>
    </xf>
    <xf numFmtId="0" fontId="61" fillId="0" borderId="0" xfId="0" applyFont="1" applyAlignment="1">
      <alignment vertical="center" wrapText="1"/>
    </xf>
    <xf numFmtId="177" fontId="50" fillId="56" borderId="284" xfId="9" applyNumberFormat="1" applyFont="1" applyFill="1" applyBorder="1" applyAlignment="1">
      <alignment horizontal="center" vertical="top"/>
    </xf>
    <xf numFmtId="172" fontId="53" fillId="54" borderId="18" xfId="3" applyNumberFormat="1" applyFont="1" applyFill="1" applyBorder="1" applyAlignment="1">
      <alignment horizontal="center" vertical="top"/>
    </xf>
    <xf numFmtId="0" fontId="53" fillId="0" borderId="3" xfId="9" applyFont="1" applyBorder="1" applyAlignment="1">
      <alignment horizontal="center" vertical="top"/>
    </xf>
    <xf numFmtId="0" fontId="53" fillId="0" borderId="19" xfId="9" applyFont="1" applyBorder="1" applyAlignment="1">
      <alignment horizontal="center" vertical="top"/>
    </xf>
    <xf numFmtId="3" fontId="53" fillId="0" borderId="304" xfId="9" applyNumberFormat="1" applyFont="1" applyBorder="1" applyAlignment="1">
      <alignment horizontal="center" vertical="top"/>
    </xf>
    <xf numFmtId="3" fontId="53" fillId="0" borderId="305" xfId="9" applyNumberFormat="1" applyFont="1" applyBorder="1" applyAlignment="1">
      <alignment horizontal="center" vertical="top"/>
    </xf>
    <xf numFmtId="0" fontId="52" fillId="0" borderId="31" xfId="9" applyBorder="1" applyAlignment="1">
      <alignment horizontal="center" vertical="center"/>
    </xf>
    <xf numFmtId="0" fontId="7" fillId="55" borderId="291" xfId="9" applyFont="1" applyFill="1" applyBorder="1" applyAlignment="1">
      <alignment horizontal="center" vertical="top"/>
    </xf>
    <xf numFmtId="0" fontId="7" fillId="55" borderId="11" xfId="9" applyFont="1" applyFill="1" applyBorder="1" applyAlignment="1">
      <alignment horizontal="center" vertical="top"/>
    </xf>
    <xf numFmtId="0" fontId="7" fillId="55" borderId="292" xfId="9" applyFont="1" applyFill="1" applyBorder="1" applyAlignment="1">
      <alignment horizontal="center" vertical="top"/>
    </xf>
    <xf numFmtId="0" fontId="7" fillId="55" borderId="9" xfId="9" applyFont="1" applyFill="1" applyBorder="1" applyAlignment="1">
      <alignment horizontal="center" vertical="top"/>
    </xf>
    <xf numFmtId="0" fontId="55" fillId="0" borderId="15" xfId="9" applyFont="1" applyBorder="1" applyAlignment="1">
      <alignment horizontal="center" vertical="center"/>
    </xf>
    <xf numFmtId="0" fontId="55" fillId="0" borderId="18" xfId="9" applyFont="1" applyBorder="1" applyAlignment="1">
      <alignment horizontal="center" vertical="center"/>
    </xf>
    <xf numFmtId="0" fontId="55" fillId="0" borderId="295" xfId="9" applyFont="1" applyBorder="1" applyAlignment="1">
      <alignment horizontal="center" vertical="center"/>
    </xf>
    <xf numFmtId="0" fontId="7" fillId="55" borderId="87" xfId="9" applyFont="1" applyFill="1" applyBorder="1" applyAlignment="1">
      <alignment horizontal="center" vertical="top"/>
    </xf>
    <xf numFmtId="0" fontId="7" fillId="55" borderId="94" xfId="9" applyFont="1" applyFill="1" applyBorder="1" applyAlignment="1">
      <alignment horizontal="center" vertical="top"/>
    </xf>
    <xf numFmtId="3" fontId="6" fillId="0" borderId="4" xfId="9" applyNumberFormat="1" applyFont="1" applyBorder="1" applyAlignment="1">
      <alignment horizontal="center" vertical="top"/>
    </xf>
    <xf numFmtId="3" fontId="6" fillId="0" borderId="40" xfId="9" applyNumberFormat="1" applyFont="1" applyBorder="1" applyAlignment="1">
      <alignment horizontal="center" vertical="top"/>
    </xf>
    <xf numFmtId="3" fontId="6" fillId="0" borderId="19" xfId="9" applyNumberFormat="1" applyFont="1" applyBorder="1" applyAlignment="1">
      <alignment horizontal="center" vertical="top"/>
    </xf>
    <xf numFmtId="3" fontId="6" fillId="0" borderId="92" xfId="9" applyNumberFormat="1" applyFont="1" applyBorder="1" applyAlignment="1">
      <alignment horizontal="center" vertical="top"/>
    </xf>
    <xf numFmtId="0" fontId="55" fillId="56" borderId="91" xfId="9" applyFont="1" applyFill="1" applyBorder="1" applyAlignment="1">
      <alignment vertical="center"/>
    </xf>
    <xf numFmtId="0" fontId="55" fillId="55" borderId="14" xfId="9" applyFont="1" applyFill="1" applyBorder="1" applyAlignment="1">
      <alignment vertical="center"/>
    </xf>
    <xf numFmtId="0" fontId="55" fillId="55" borderId="23" xfId="9" applyFont="1" applyFill="1" applyBorder="1" applyAlignment="1">
      <alignment vertical="center"/>
    </xf>
    <xf numFmtId="0" fontId="55" fillId="55" borderId="36" xfId="9" applyFont="1" applyFill="1" applyBorder="1" applyAlignment="1">
      <alignment vertical="center"/>
    </xf>
    <xf numFmtId="3" fontId="55" fillId="0" borderId="154" xfId="9" applyNumberFormat="1" applyFont="1" applyBorder="1" applyAlignment="1">
      <alignment horizontal="left" vertical="top" wrapText="1"/>
    </xf>
    <xf numFmtId="3" fontId="55" fillId="0" borderId="165" xfId="9" applyNumberFormat="1" applyFont="1" applyBorder="1" applyAlignment="1">
      <alignment horizontal="left" vertical="top" wrapText="1"/>
    </xf>
    <xf numFmtId="0" fontId="55" fillId="55" borderId="14" xfId="9" applyFont="1" applyFill="1" applyBorder="1" applyAlignment="1">
      <alignment vertical="center" wrapText="1"/>
    </xf>
    <xf numFmtId="0" fontId="55" fillId="55" borderId="154" xfId="9" applyFont="1" applyFill="1" applyBorder="1" applyAlignment="1">
      <alignment vertical="center" wrapText="1"/>
    </xf>
    <xf numFmtId="0" fontId="58" fillId="56" borderId="91" xfId="9" applyFont="1" applyFill="1" applyBorder="1" applyAlignment="1">
      <alignment vertical="center"/>
    </xf>
    <xf numFmtId="0" fontId="58" fillId="56" borderId="4" xfId="9" applyFont="1" applyFill="1" applyBorder="1" applyAlignment="1">
      <alignment horizontal="center" vertical="top"/>
    </xf>
    <xf numFmtId="0" fontId="58" fillId="56" borderId="165" xfId="9" applyFont="1" applyFill="1" applyBorder="1" applyAlignment="1">
      <alignment horizontal="center" vertical="top"/>
    </xf>
    <xf numFmtId="0" fontId="64" fillId="0" borderId="0" xfId="0" applyFont="1" applyAlignment="1">
      <alignment horizontal="left" vertical="top" wrapText="1"/>
    </xf>
    <xf numFmtId="3" fontId="6" fillId="3" borderId="6" xfId="0" applyNumberFormat="1" applyFont="1" applyFill="1" applyBorder="1" applyAlignment="1">
      <alignment horizontal="center" vertical="center" wrapText="1"/>
    </xf>
    <xf numFmtId="3" fontId="6" fillId="3" borderId="28" xfId="0" applyNumberFormat="1" applyFont="1" applyFill="1" applyBorder="1" applyAlignment="1">
      <alignment horizontal="center" vertical="center" wrapText="1"/>
    </xf>
    <xf numFmtId="3" fontId="6" fillId="3" borderId="107" xfId="0" applyNumberFormat="1" applyFont="1" applyFill="1" applyBorder="1" applyAlignment="1">
      <alignment horizontal="center" vertical="center" wrapText="1"/>
    </xf>
    <xf numFmtId="3" fontId="6" fillId="3" borderId="3" xfId="0" applyNumberFormat="1" applyFont="1" applyFill="1" applyBorder="1" applyAlignment="1">
      <alignment horizontal="center" vertical="center" wrapText="1"/>
    </xf>
    <xf numFmtId="3" fontId="6" fillId="3" borderId="1" xfId="0" applyNumberFormat="1" applyFont="1" applyFill="1" applyBorder="1" applyAlignment="1">
      <alignment horizontal="center" vertical="center" wrapText="1"/>
    </xf>
    <xf numFmtId="3" fontId="6" fillId="3" borderId="76" xfId="0" applyNumberFormat="1" applyFont="1" applyFill="1" applyBorder="1" applyAlignment="1">
      <alignment horizontal="center" vertical="center" wrapText="1"/>
    </xf>
    <xf numFmtId="3" fontId="6" fillId="3" borderId="37" xfId="0" applyNumberFormat="1" applyFont="1" applyFill="1" applyBorder="1" applyAlignment="1">
      <alignment horizontal="center" vertical="center" wrapText="1"/>
    </xf>
    <xf numFmtId="3" fontId="6" fillId="3" borderId="34" xfId="0" applyNumberFormat="1" applyFont="1" applyFill="1" applyBorder="1" applyAlignment="1">
      <alignment horizontal="center" vertical="center" wrapText="1"/>
    </xf>
    <xf numFmtId="3" fontId="6" fillId="3" borderId="8" xfId="0" applyNumberFormat="1" applyFont="1" applyFill="1" applyBorder="1" applyAlignment="1">
      <alignment horizontal="center" vertical="center" wrapText="1"/>
    </xf>
    <xf numFmtId="3" fontId="7" fillId="3" borderId="13" xfId="0" applyNumberFormat="1" applyFont="1" applyFill="1" applyBorder="1" applyAlignment="1">
      <alignment horizontal="center" vertical="center" wrapText="1"/>
    </xf>
    <xf numFmtId="3" fontId="7" fillId="3" borderId="28" xfId="0" applyNumberFormat="1" applyFont="1" applyFill="1" applyBorder="1" applyAlignment="1">
      <alignment horizontal="center" vertical="center" wrapText="1"/>
    </xf>
    <xf numFmtId="3" fontId="7" fillId="3" borderId="37" xfId="0" applyNumberFormat="1" applyFont="1" applyFill="1" applyBorder="1" applyAlignment="1">
      <alignment horizontal="center" vertical="center" wrapText="1"/>
    </xf>
    <xf numFmtId="3" fontId="7" fillId="3" borderId="34" xfId="0" applyNumberFormat="1" applyFont="1" applyFill="1" applyBorder="1" applyAlignment="1">
      <alignment horizontal="center" vertical="center" wrapText="1"/>
    </xf>
    <xf numFmtId="3" fontId="7" fillId="3" borderId="192" xfId="0" applyNumberFormat="1" applyFont="1" applyFill="1" applyBorder="1" applyAlignment="1">
      <alignment horizontal="center" vertical="center" wrapText="1"/>
    </xf>
    <xf numFmtId="0" fontId="8" fillId="3" borderId="0" xfId="0" applyFont="1" applyFill="1"/>
    <xf numFmtId="0" fontId="10" fillId="3" borderId="0" xfId="0" applyFont="1" applyFill="1" applyAlignment="1">
      <alignment horizontal="center"/>
    </xf>
    <xf numFmtId="0" fontId="6" fillId="3" borderId="1" xfId="0" applyFont="1" applyFill="1" applyBorder="1" applyAlignment="1">
      <alignment horizontal="center" vertical="center" wrapText="1"/>
    </xf>
    <xf numFmtId="0" fontId="6" fillId="3" borderId="1" xfId="0" applyFont="1" applyFill="1" applyBorder="1" applyAlignment="1">
      <alignment horizontal="left" vertical="center" wrapText="1"/>
    </xf>
    <xf numFmtId="0" fontId="48" fillId="3" borderId="52" xfId="0" applyFont="1" applyFill="1" applyBorder="1" applyAlignment="1">
      <alignment horizontal="center" vertical="center" wrapText="1"/>
    </xf>
    <xf numFmtId="0" fontId="0" fillId="3" borderId="12" xfId="0" applyFill="1" applyBorder="1"/>
    <xf numFmtId="0" fontId="18" fillId="3" borderId="6" xfId="0" applyFont="1" applyFill="1" applyBorder="1" applyAlignment="1">
      <alignment horizontal="center"/>
    </xf>
    <xf numFmtId="0" fontId="6" fillId="3" borderId="105" xfId="0" applyFont="1" applyFill="1" applyBorder="1" applyAlignment="1">
      <alignment horizontal="center" vertical="center" wrapText="1"/>
    </xf>
    <xf numFmtId="0" fontId="6" fillId="3" borderId="73" xfId="0" applyFont="1" applyFill="1" applyBorder="1" applyAlignment="1">
      <alignment horizontal="center" vertical="center" wrapText="1"/>
    </xf>
    <xf numFmtId="0" fontId="6" fillId="3" borderId="52" xfId="0" applyFont="1" applyFill="1" applyBorder="1" applyAlignment="1">
      <alignment horizontal="center" vertical="center" wrapText="1"/>
    </xf>
    <xf numFmtId="0" fontId="10" fillId="3" borderId="0" xfId="0" applyFont="1" applyFill="1"/>
    <xf numFmtId="0" fontId="8" fillId="3" borderId="0" xfId="0" applyFont="1" applyFill="1" applyAlignment="1">
      <alignment horizontal="left" vertical="center"/>
    </xf>
    <xf numFmtId="0" fontId="8" fillId="3" borderId="0" xfId="0" applyFont="1" applyFill="1" applyAlignment="1">
      <alignment vertical="center"/>
    </xf>
    <xf numFmtId="0" fontId="8" fillId="3" borderId="21" xfId="0" applyFont="1" applyFill="1" applyBorder="1" applyAlignment="1">
      <alignment vertical="center"/>
    </xf>
    <xf numFmtId="0" fontId="8" fillId="3" borderId="43" xfId="0" applyFont="1" applyFill="1" applyBorder="1" applyAlignment="1">
      <alignment vertical="center"/>
    </xf>
    <xf numFmtId="0" fontId="6" fillId="0" borderId="131" xfId="0" applyFont="1" applyBorder="1" applyAlignment="1">
      <alignment horizontal="center" vertical="center"/>
    </xf>
    <xf numFmtId="0" fontId="6" fillId="0" borderId="130" xfId="0" applyFont="1" applyBorder="1" applyAlignment="1">
      <alignment horizontal="center" vertical="center"/>
    </xf>
    <xf numFmtId="3" fontId="11" fillId="0" borderId="89" xfId="3" applyNumberFormat="1" applyFont="1" applyBorder="1" applyAlignment="1">
      <alignment horizontal="center" vertical="center"/>
    </xf>
    <xf numFmtId="3" fontId="11" fillId="0" borderId="28" xfId="3" applyNumberFormat="1" applyFont="1" applyBorder="1" applyAlignment="1">
      <alignment horizontal="center" vertical="center"/>
    </xf>
    <xf numFmtId="3" fontId="6" fillId="0" borderId="42" xfId="1" applyNumberFormat="1" applyFont="1" applyBorder="1" applyAlignment="1">
      <alignment horizontal="center" vertical="center"/>
    </xf>
    <xf numFmtId="3" fontId="6" fillId="3" borderId="89" xfId="0" applyNumberFormat="1" applyFont="1" applyFill="1" applyBorder="1" applyAlignment="1">
      <alignment horizontal="center" vertical="center"/>
    </xf>
    <xf numFmtId="3" fontId="6" fillId="3" borderId="28" xfId="0" applyNumberFormat="1" applyFont="1" applyFill="1" applyBorder="1" applyAlignment="1">
      <alignment horizontal="center" vertical="center"/>
    </xf>
    <xf numFmtId="3" fontId="6" fillId="3" borderId="42" xfId="0" applyNumberFormat="1" applyFont="1" applyFill="1" applyBorder="1" applyAlignment="1">
      <alignment horizontal="center" vertical="center"/>
    </xf>
    <xf numFmtId="3" fontId="11" fillId="3" borderId="4" xfId="3" applyNumberFormat="1" applyFont="1" applyFill="1" applyBorder="1" applyAlignment="1">
      <alignment horizontal="center" vertical="center"/>
    </xf>
    <xf numFmtId="3" fontId="11" fillId="3" borderId="5" xfId="3" applyNumberFormat="1" applyFont="1" applyFill="1" applyBorder="1" applyAlignment="1">
      <alignment horizontal="center" vertical="center"/>
    </xf>
    <xf numFmtId="3" fontId="6" fillId="3" borderId="40" xfId="1" applyNumberFormat="1" applyFont="1" applyFill="1" applyBorder="1" applyAlignment="1">
      <alignment horizontal="center" vertical="center"/>
    </xf>
    <xf numFmtId="0" fontId="138" fillId="3" borderId="0" xfId="0" applyFont="1" applyFill="1"/>
    <xf numFmtId="3" fontId="6" fillId="3" borderId="0" xfId="1" applyNumberFormat="1" applyFont="1" applyFill="1" applyBorder="1" applyAlignment="1">
      <alignment horizontal="center" vertical="center"/>
    </xf>
    <xf numFmtId="179" fontId="6" fillId="3" borderId="0" xfId="1" applyNumberFormat="1" applyFont="1" applyFill="1" applyBorder="1" applyAlignment="1">
      <alignment horizontal="center" vertical="center"/>
    </xf>
    <xf numFmtId="183" fontId="6" fillId="3" borderId="0" xfId="1" applyNumberFormat="1" applyFont="1" applyFill="1" applyBorder="1" applyAlignment="1">
      <alignment horizontal="center" vertical="center"/>
    </xf>
    <xf numFmtId="3" fontId="6" fillId="3" borderId="19" xfId="1" applyNumberFormat="1" applyFont="1" applyFill="1" applyBorder="1" applyAlignment="1">
      <alignment horizontal="center" vertical="center"/>
    </xf>
    <xf numFmtId="3" fontId="6" fillId="3" borderId="92" xfId="1" applyNumberFormat="1" applyFont="1" applyFill="1" applyBorder="1" applyAlignment="1">
      <alignment horizontal="center" vertical="center"/>
    </xf>
    <xf numFmtId="3" fontId="6" fillId="3" borderId="3" xfId="1" applyNumberFormat="1" applyFont="1" applyFill="1" applyBorder="1" applyAlignment="1">
      <alignment horizontal="center" vertical="center"/>
    </xf>
    <xf numFmtId="174" fontId="6" fillId="3" borderId="34" xfId="1" applyNumberFormat="1" applyFont="1" applyFill="1" applyBorder="1" applyAlignment="1">
      <alignment horizontal="center" vertical="center"/>
    </xf>
    <xf numFmtId="174" fontId="6" fillId="3" borderId="85" xfId="1" applyNumberFormat="1" applyFont="1" applyFill="1" applyBorder="1" applyAlignment="1">
      <alignment horizontal="center" vertical="center"/>
    </xf>
    <xf numFmtId="174" fontId="6" fillId="3" borderId="86" xfId="1" applyNumberFormat="1" applyFont="1" applyFill="1" applyBorder="1" applyAlignment="1">
      <alignment horizontal="center" vertical="center"/>
    </xf>
    <xf numFmtId="0" fontId="53" fillId="54" borderId="165" xfId="9" applyFont="1" applyFill="1" applyBorder="1" applyAlignment="1">
      <alignment horizontal="center" vertical="center"/>
    </xf>
    <xf numFmtId="0" fontId="53" fillId="54" borderId="21" xfId="9" applyFont="1" applyFill="1" applyBorder="1" applyAlignment="1">
      <alignment horizontal="center" vertical="center"/>
    </xf>
    <xf numFmtId="0" fontId="53" fillId="54" borderId="154" xfId="9" applyFont="1" applyFill="1" applyBorder="1" applyAlignment="1">
      <alignment horizontal="center" vertical="center"/>
    </xf>
    <xf numFmtId="0" fontId="53" fillId="54" borderId="155" xfId="9" applyFont="1" applyFill="1" applyBorder="1" applyAlignment="1">
      <alignment horizontal="center" vertical="center"/>
    </xf>
    <xf numFmtId="0" fontId="53" fillId="54" borderId="156" xfId="9" applyFont="1" applyFill="1" applyBorder="1" applyAlignment="1">
      <alignment horizontal="center" vertical="center"/>
    </xf>
    <xf numFmtId="0" fontId="53" fillId="54" borderId="131" xfId="9" applyFont="1" applyFill="1" applyBorder="1" applyAlignment="1">
      <alignment horizontal="center" vertical="center"/>
    </xf>
    <xf numFmtId="0" fontId="53" fillId="54" borderId="130" xfId="9" applyFont="1" applyFill="1" applyBorder="1" applyAlignment="1">
      <alignment horizontal="center" vertical="center"/>
    </xf>
    <xf numFmtId="0" fontId="53" fillId="54" borderId="162" xfId="9" applyFont="1" applyFill="1" applyBorder="1" applyAlignment="1">
      <alignment horizontal="center" vertical="center"/>
    </xf>
    <xf numFmtId="0" fontId="53" fillId="54" borderId="23" xfId="9" applyFont="1" applyFill="1" applyBorder="1" applyAlignment="1">
      <alignment horizontal="center" vertical="center"/>
    </xf>
    <xf numFmtId="0" fontId="53" fillId="54" borderId="220" xfId="9" applyFont="1" applyFill="1" applyBorder="1" applyAlignment="1">
      <alignment horizontal="center" vertical="center"/>
    </xf>
    <xf numFmtId="0" fontId="53" fillId="54" borderId="233" xfId="9" applyFont="1" applyFill="1" applyBorder="1" applyAlignment="1">
      <alignment horizontal="center" vertical="center"/>
    </xf>
    <xf numFmtId="0" fontId="53" fillId="54" borderId="234" xfId="9" applyFont="1" applyFill="1" applyBorder="1" applyAlignment="1">
      <alignment horizontal="center" vertical="center"/>
    </xf>
    <xf numFmtId="0" fontId="53" fillId="54" borderId="239" xfId="9" applyFont="1" applyFill="1" applyBorder="1" applyAlignment="1">
      <alignment horizontal="center" vertical="center"/>
    </xf>
    <xf numFmtId="0" fontId="53" fillId="54" borderId="13" xfId="9" applyFont="1" applyFill="1" applyBorder="1" applyAlignment="1">
      <alignment horizontal="center" vertical="center"/>
    </xf>
    <xf numFmtId="0" fontId="53" fillId="54" borderId="43" xfId="9" applyFont="1" applyFill="1" applyBorder="1" applyAlignment="1">
      <alignment horizontal="center" vertical="center"/>
    </xf>
    <xf numFmtId="0" fontId="53" fillId="54" borderId="90" xfId="9" applyFont="1" applyFill="1" applyBorder="1" applyAlignment="1">
      <alignment horizontal="center" vertical="center"/>
    </xf>
    <xf numFmtId="0" fontId="53" fillId="54" borderId="128" xfId="9" applyFont="1" applyFill="1" applyBorder="1" applyAlignment="1">
      <alignment horizontal="center" vertical="center"/>
    </xf>
    <xf numFmtId="0" fontId="53" fillId="54" borderId="66" xfId="9" applyFont="1" applyFill="1" applyBorder="1" applyAlignment="1">
      <alignment horizontal="center" vertical="center"/>
    </xf>
    <xf numFmtId="0" fontId="53" fillId="54" borderId="237" xfId="9" applyFont="1" applyFill="1" applyBorder="1" applyAlignment="1">
      <alignment horizontal="center" vertical="center"/>
    </xf>
    <xf numFmtId="0" fontId="53" fillId="54" borderId="317" xfId="9" applyFont="1" applyFill="1" applyBorder="1" applyAlignment="1">
      <alignment horizontal="center" vertical="center"/>
    </xf>
    <xf numFmtId="0" fontId="6" fillId="0" borderId="128" xfId="0" applyFont="1" applyBorder="1" applyAlignment="1">
      <alignment horizontal="center" vertical="center" wrapText="1"/>
    </xf>
    <xf numFmtId="0" fontId="11" fillId="0" borderId="89" xfId="0" applyFont="1" applyBorder="1" applyAlignment="1">
      <alignment horizontal="center" vertical="center"/>
    </xf>
    <xf numFmtId="3" fontId="11" fillId="3" borderId="89" xfId="0" applyNumberFormat="1" applyFont="1" applyFill="1" applyBorder="1" applyAlignment="1">
      <alignment horizontal="center" vertical="center"/>
    </xf>
    <xf numFmtId="0" fontId="11" fillId="0" borderId="19" xfId="0" applyFont="1" applyBorder="1" applyAlignment="1">
      <alignment horizontal="center" vertical="center"/>
    </xf>
    <xf numFmtId="3" fontId="11" fillId="3" borderId="19" xfId="0" applyNumberFormat="1" applyFont="1" applyFill="1" applyBorder="1" applyAlignment="1">
      <alignment horizontal="center" vertical="center"/>
    </xf>
    <xf numFmtId="178" fontId="11" fillId="3" borderId="89" xfId="0" applyNumberFormat="1" applyFont="1" applyFill="1" applyBorder="1" applyAlignment="1">
      <alignment horizontal="center" vertical="center"/>
    </xf>
    <xf numFmtId="178" fontId="11" fillId="3" borderId="19" xfId="0" applyNumberFormat="1" applyFont="1" applyFill="1" applyBorder="1" applyAlignment="1">
      <alignment horizontal="center" vertical="center"/>
    </xf>
    <xf numFmtId="3" fontId="6" fillId="0" borderId="359" xfId="1" applyNumberFormat="1" applyFont="1" applyFill="1" applyBorder="1" applyAlignment="1">
      <alignment horizontal="center" vertical="center"/>
    </xf>
    <xf numFmtId="3" fontId="6" fillId="0" borderId="360" xfId="1" applyNumberFormat="1" applyFont="1" applyFill="1" applyBorder="1" applyAlignment="1">
      <alignment horizontal="center" vertical="center"/>
    </xf>
    <xf numFmtId="3" fontId="6" fillId="3" borderId="42" xfId="1" applyNumberFormat="1" applyFont="1" applyFill="1" applyBorder="1" applyAlignment="1">
      <alignment horizontal="center" vertical="center"/>
    </xf>
    <xf numFmtId="3" fontId="6" fillId="0" borderId="361" xfId="1" applyNumberFormat="1" applyFont="1" applyFill="1" applyBorder="1" applyAlignment="1">
      <alignment horizontal="center" vertical="center"/>
    </xf>
    <xf numFmtId="3" fontId="6" fillId="0" borderId="99" xfId="1" applyNumberFormat="1" applyFont="1" applyFill="1" applyBorder="1" applyAlignment="1">
      <alignment horizontal="center" vertical="center"/>
    </xf>
    <xf numFmtId="1" fontId="11" fillId="3" borderId="89" xfId="0" applyNumberFormat="1" applyFont="1" applyFill="1" applyBorder="1" applyAlignment="1">
      <alignment horizontal="center" vertical="center" wrapText="1"/>
    </xf>
    <xf numFmtId="1" fontId="11" fillId="3" borderId="19" xfId="0" applyNumberFormat="1" applyFont="1" applyFill="1" applyBorder="1" applyAlignment="1">
      <alignment horizontal="center" vertical="center" wrapText="1"/>
    </xf>
    <xf numFmtId="0" fontId="6" fillId="4" borderId="35" xfId="0" applyFont="1" applyFill="1" applyBorder="1" applyAlignment="1">
      <alignment vertical="center"/>
    </xf>
    <xf numFmtId="9" fontId="6" fillId="4" borderId="154" xfId="0" applyNumberFormat="1" applyFont="1" applyFill="1" applyBorder="1" applyAlignment="1">
      <alignment vertical="center"/>
    </xf>
    <xf numFmtId="0" fontId="6" fillId="0" borderId="33" xfId="0" applyFont="1" applyBorder="1" applyAlignment="1">
      <alignment horizontal="center" vertical="center"/>
    </xf>
    <xf numFmtId="0" fontId="6" fillId="0" borderId="31" xfId="0" applyFont="1" applyBorder="1" applyAlignment="1">
      <alignment horizontal="left" vertical="top"/>
    </xf>
    <xf numFmtId="0" fontId="6" fillId="0" borderId="31" xfId="0" applyFont="1" applyBorder="1" applyAlignment="1">
      <alignment horizontal="center" vertical="center"/>
    </xf>
    <xf numFmtId="0" fontId="12" fillId="0" borderId="84" xfId="0" applyFont="1" applyBorder="1" applyAlignment="1">
      <alignment horizontal="right" vertical="top"/>
    </xf>
    <xf numFmtId="174" fontId="6" fillId="3" borderId="0" xfId="1" applyNumberFormat="1" applyFont="1" applyFill="1" applyBorder="1" applyAlignment="1">
      <alignment horizontal="center" vertical="center"/>
    </xf>
    <xf numFmtId="0" fontId="137" fillId="3" borderId="169" xfId="0" applyFont="1" applyFill="1" applyBorder="1" applyAlignment="1">
      <alignment horizontal="left" vertical="center"/>
    </xf>
    <xf numFmtId="0" fontId="6" fillId="54" borderId="154" xfId="0" applyFont="1" applyFill="1" applyBorder="1" applyAlignment="1">
      <alignment horizontal="left" vertical="center" wrapText="1"/>
    </xf>
    <xf numFmtId="0" fontId="6" fillId="54" borderId="131" xfId="0" applyFont="1" applyFill="1" applyBorder="1" applyAlignment="1">
      <alignment vertical="center" wrapText="1"/>
    </xf>
    <xf numFmtId="0" fontId="58" fillId="55" borderId="95" xfId="9" applyFont="1" applyFill="1" applyBorder="1" applyAlignment="1">
      <alignment horizontal="center" vertical="center"/>
    </xf>
    <xf numFmtId="0" fontId="58" fillId="55" borderId="91" xfId="9" applyFont="1" applyFill="1" applyBorder="1" applyAlignment="1">
      <alignment horizontal="center" vertical="center"/>
    </xf>
    <xf numFmtId="0" fontId="50" fillId="55" borderId="95" xfId="0" applyFont="1" applyFill="1" applyBorder="1" applyAlignment="1">
      <alignment wrapText="1"/>
    </xf>
    <xf numFmtId="0" fontId="50" fillId="55" borderId="132" xfId="0" applyFont="1" applyFill="1" applyBorder="1" applyAlignment="1">
      <alignment wrapText="1"/>
    </xf>
    <xf numFmtId="0" fontId="58" fillId="55" borderId="165" xfId="9" applyFont="1" applyFill="1" applyBorder="1" applyAlignment="1">
      <alignment horizontal="center" vertical="center"/>
    </xf>
    <xf numFmtId="0" fontId="7" fillId="54" borderId="154" xfId="9" applyFont="1" applyFill="1" applyBorder="1" applyAlignment="1">
      <alignment horizontal="center"/>
    </xf>
    <xf numFmtId="0" fontId="7" fillId="54" borderId="36" xfId="9" applyFont="1" applyFill="1" applyBorder="1" applyAlignment="1">
      <alignment horizontal="center"/>
    </xf>
    <xf numFmtId="0" fontId="3" fillId="54" borderId="164" xfId="0" applyFont="1" applyFill="1" applyBorder="1" applyAlignment="1">
      <alignment horizontal="center" vertical="center"/>
    </xf>
    <xf numFmtId="0" fontId="3" fillId="54" borderId="160" xfId="0" applyFont="1" applyFill="1" applyBorder="1" applyAlignment="1">
      <alignment horizontal="center"/>
    </xf>
    <xf numFmtId="0" fontId="7" fillId="54" borderId="160" xfId="9" applyFont="1" applyFill="1" applyBorder="1" applyAlignment="1">
      <alignment horizontal="center" vertical="center"/>
    </xf>
    <xf numFmtId="0" fontId="7" fillId="54" borderId="97" xfId="9" applyFont="1" applyFill="1" applyBorder="1" applyAlignment="1">
      <alignment horizontal="center"/>
    </xf>
    <xf numFmtId="0" fontId="7" fillId="54" borderId="154" xfId="9" applyFont="1" applyFill="1" applyBorder="1" applyAlignment="1">
      <alignment horizontal="center" vertical="center"/>
    </xf>
    <xf numFmtId="0" fontId="7" fillId="54" borderId="164" xfId="0" applyFont="1" applyFill="1" applyBorder="1" applyAlignment="1">
      <alignment horizontal="center" vertical="center"/>
    </xf>
    <xf numFmtId="0" fontId="7" fillId="54" borderId="160" xfId="0" applyFont="1" applyFill="1" applyBorder="1" applyAlignment="1">
      <alignment horizontal="center" vertical="center"/>
    </xf>
    <xf numFmtId="0" fontId="7" fillId="54" borderId="97" xfId="9" applyFont="1" applyFill="1" applyBorder="1" applyAlignment="1">
      <alignment horizontal="center" vertical="center"/>
    </xf>
    <xf numFmtId="0" fontId="7" fillId="54" borderId="128" xfId="9" applyFont="1" applyFill="1" applyBorder="1" applyAlignment="1">
      <alignment horizontal="center" vertical="center"/>
    </xf>
    <xf numFmtId="0" fontId="7" fillId="54" borderId="21" xfId="9" applyFont="1" applyFill="1" applyBorder="1" applyAlignment="1">
      <alignment horizontal="center" vertical="center"/>
    </xf>
    <xf numFmtId="0" fontId="7" fillId="54" borderId="97" xfId="0" applyFont="1" applyFill="1" applyBorder="1" applyAlignment="1">
      <alignment horizontal="center" vertical="center"/>
    </xf>
    <xf numFmtId="172" fontId="144" fillId="3" borderId="86" xfId="3" applyNumberFormat="1" applyFont="1" applyFill="1" applyBorder="1" applyAlignment="1">
      <alignment horizontal="center" vertical="center"/>
    </xf>
    <xf numFmtId="0" fontId="18" fillId="55" borderId="39" xfId="0" applyFont="1" applyFill="1" applyBorder="1" applyAlignment="1">
      <alignment horizontal="center" vertical="center"/>
    </xf>
    <xf numFmtId="0" fontId="18" fillId="55" borderId="158" xfId="0" applyFont="1" applyFill="1" applyBorder="1" applyAlignment="1">
      <alignment horizontal="center" vertical="center"/>
    </xf>
    <xf numFmtId="176" fontId="144" fillId="54" borderId="90" xfId="1" applyNumberFormat="1" applyFont="1" applyFill="1" applyBorder="1" applyAlignment="1">
      <alignment horizontal="center" vertical="center"/>
    </xf>
    <xf numFmtId="172" fontId="144" fillId="54" borderId="86" xfId="3" applyNumberFormat="1" applyFont="1" applyFill="1" applyBorder="1" applyAlignment="1">
      <alignment horizontal="center" vertical="center"/>
    </xf>
    <xf numFmtId="0" fontId="0" fillId="3" borderId="0" xfId="0" applyFill="1"/>
    <xf numFmtId="0" fontId="6" fillId="3" borderId="128" xfId="0" applyFont="1" applyFill="1" applyBorder="1"/>
    <xf numFmtId="0" fontId="6" fillId="3" borderId="43" xfId="0" applyFont="1" applyFill="1" applyBorder="1"/>
    <xf numFmtId="0" fontId="50" fillId="56" borderId="39" xfId="0" applyFont="1" applyFill="1" applyBorder="1" applyAlignment="1">
      <alignment horizontal="center" vertical="center"/>
    </xf>
    <xf numFmtId="0" fontId="0" fillId="55" borderId="132" xfId="0" applyFill="1" applyBorder="1"/>
    <xf numFmtId="0" fontId="11" fillId="55" borderId="14" xfId="0" applyFont="1" applyFill="1" applyBorder="1" applyAlignment="1">
      <alignment horizontal="left" vertical="center"/>
    </xf>
    <xf numFmtId="0" fontId="11" fillId="55" borderId="3" xfId="0" applyFont="1" applyFill="1" applyBorder="1" applyAlignment="1">
      <alignment horizontal="left" vertical="center"/>
    </xf>
    <xf numFmtId="0" fontId="6" fillId="55" borderId="11" xfId="0" applyFont="1" applyFill="1" applyBorder="1" applyAlignment="1">
      <alignment horizontal="left" vertical="center"/>
    </xf>
    <xf numFmtId="0" fontId="6" fillId="55" borderId="37" xfId="0" applyFont="1" applyFill="1" applyBorder="1" applyAlignment="1">
      <alignment horizontal="left" vertical="center"/>
    </xf>
    <xf numFmtId="3" fontId="11" fillId="0" borderId="4" xfId="0" applyNumberFormat="1" applyFont="1" applyBorder="1" applyAlignment="1">
      <alignment horizontal="center" vertical="center"/>
    </xf>
    <xf numFmtId="3" fontId="11" fillId="0" borderId="40" xfId="0" applyNumberFormat="1" applyFont="1" applyBorder="1" applyAlignment="1">
      <alignment horizontal="center" vertical="center"/>
    </xf>
    <xf numFmtId="0" fontId="61" fillId="55" borderId="26" xfId="0" applyFont="1" applyFill="1" applyBorder="1" applyAlignment="1">
      <alignment horizontal="center" vertical="center"/>
    </xf>
    <xf numFmtId="0" fontId="61" fillId="55" borderId="117" xfId="0" applyFont="1" applyFill="1" applyBorder="1" applyAlignment="1">
      <alignment horizontal="center" vertical="center"/>
    </xf>
    <xf numFmtId="0" fontId="61" fillId="55" borderId="122" xfId="0" applyFont="1" applyFill="1" applyBorder="1" applyAlignment="1">
      <alignment horizontal="center" vertical="center"/>
    </xf>
    <xf numFmtId="0" fontId="61" fillId="55" borderId="123" xfId="0" applyFont="1" applyFill="1" applyBorder="1" applyAlignment="1">
      <alignment horizontal="center" vertical="center"/>
    </xf>
    <xf numFmtId="0" fontId="61" fillId="55" borderId="115" xfId="0" applyFont="1" applyFill="1" applyBorder="1" applyAlignment="1">
      <alignment horizontal="center" vertical="center"/>
    </xf>
    <xf numFmtId="0" fontId="6" fillId="55" borderId="123" xfId="0" applyFont="1" applyFill="1" applyBorder="1" applyAlignment="1">
      <alignment horizontal="center" vertical="center"/>
    </xf>
    <xf numFmtId="0" fontId="61" fillId="55" borderId="10" xfId="0" applyFont="1" applyFill="1" applyBorder="1" applyAlignment="1">
      <alignment horizontal="center" vertical="center"/>
    </xf>
    <xf numFmtId="0" fontId="61" fillId="55" borderId="0" xfId="0" applyFont="1" applyFill="1" applyAlignment="1">
      <alignment horizontal="center" vertical="center"/>
    </xf>
    <xf numFmtId="0" fontId="61" fillId="55" borderId="88" xfId="0" applyFont="1" applyFill="1" applyBorder="1" applyAlignment="1">
      <alignment horizontal="center" vertical="center"/>
    </xf>
    <xf numFmtId="0" fontId="6" fillId="56" borderId="14" xfId="0" applyFont="1" applyFill="1" applyBorder="1" applyAlignment="1">
      <alignment vertical="top"/>
    </xf>
    <xf numFmtId="0" fontId="6" fillId="56" borderId="23" xfId="0" applyFont="1" applyFill="1" applyBorder="1" applyAlignment="1">
      <alignment vertical="top"/>
    </xf>
    <xf numFmtId="0" fontId="6" fillId="56" borderId="113" xfId="0" applyFont="1" applyFill="1" applyBorder="1" applyAlignment="1">
      <alignment vertical="top"/>
    </xf>
    <xf numFmtId="0" fontId="6" fillId="56" borderId="36" xfId="0" applyFont="1" applyFill="1" applyBorder="1" applyAlignment="1">
      <alignment vertical="top"/>
    </xf>
    <xf numFmtId="182" fontId="6" fillId="3" borderId="23" xfId="0" applyNumberFormat="1" applyFont="1" applyFill="1" applyBorder="1" applyAlignment="1">
      <alignment horizontal="center" vertical="center"/>
    </xf>
    <xf numFmtId="182" fontId="6" fillId="3" borderId="118" xfId="0" applyNumberFormat="1" applyFont="1" applyFill="1" applyBorder="1" applyAlignment="1">
      <alignment horizontal="center" vertical="center"/>
    </xf>
    <xf numFmtId="182" fontId="6" fillId="3" borderId="21" xfId="0" applyNumberFormat="1" applyFont="1" applyFill="1" applyBorder="1" applyAlignment="1">
      <alignment horizontal="center" vertical="center"/>
    </xf>
    <xf numFmtId="182" fontId="6" fillId="3" borderId="119" xfId="0" applyNumberFormat="1" applyFont="1" applyFill="1" applyBorder="1" applyAlignment="1">
      <alignment horizontal="center" vertical="center"/>
    </xf>
    <xf numFmtId="0" fontId="6" fillId="56" borderId="162" xfId="0" applyFont="1" applyFill="1" applyBorder="1" applyAlignment="1">
      <alignment vertical="top"/>
    </xf>
    <xf numFmtId="169" fontId="6" fillId="4" borderId="162" xfId="0" applyNumberFormat="1" applyFont="1" applyFill="1" applyBorder="1" applyAlignment="1">
      <alignment horizontal="left" vertical="top"/>
    </xf>
    <xf numFmtId="169" fontId="6" fillId="4" borderId="362" xfId="0" applyNumberFormat="1" applyFont="1" applyFill="1" applyBorder="1" applyAlignment="1">
      <alignment horizontal="left" vertical="top"/>
    </xf>
    <xf numFmtId="169" fontId="6" fillId="0" borderId="12" xfId="0" applyNumberFormat="1" applyFont="1" applyBorder="1" applyAlignment="1">
      <alignment horizontal="left" vertical="top"/>
    </xf>
    <xf numFmtId="169" fontId="6" fillId="0" borderId="363" xfId="0" applyNumberFormat="1" applyFont="1" applyBorder="1" applyAlignment="1">
      <alignment horizontal="left" vertical="top"/>
    </xf>
    <xf numFmtId="169" fontId="6" fillId="0" borderId="13" xfId="0" applyNumberFormat="1" applyFont="1" applyBorder="1" applyAlignment="1">
      <alignment horizontal="left" vertical="top"/>
    </xf>
    <xf numFmtId="169" fontId="6" fillId="0" borderId="362" xfId="0" applyNumberFormat="1" applyFont="1" applyBorder="1" applyAlignment="1">
      <alignment horizontal="left" vertical="top"/>
    </xf>
    <xf numFmtId="169" fontId="6" fillId="0" borderId="364" xfId="0" applyNumberFormat="1" applyFont="1" applyBorder="1" applyAlignment="1">
      <alignment horizontal="left" vertical="top"/>
    </xf>
    <xf numFmtId="182" fontId="6" fillId="3" borderId="162" xfId="0" applyNumberFormat="1" applyFont="1" applyFill="1" applyBorder="1" applyAlignment="1">
      <alignment horizontal="center" vertical="center"/>
    </xf>
    <xf numFmtId="182" fontId="6" fillId="3" borderId="362" xfId="0" applyNumberFormat="1" applyFont="1" applyFill="1" applyBorder="1" applyAlignment="1">
      <alignment horizontal="center" vertical="center"/>
    </xf>
    <xf numFmtId="182" fontId="6" fillId="0" borderId="12" xfId="0" applyNumberFormat="1" applyFont="1" applyBorder="1" applyAlignment="1">
      <alignment horizontal="center" vertical="center"/>
    </xf>
    <xf numFmtId="182" fontId="6" fillId="0" borderId="363" xfId="0" applyNumberFormat="1" applyFont="1" applyBorder="1" applyAlignment="1">
      <alignment horizontal="center" vertical="center"/>
    </xf>
    <xf numFmtId="182" fontId="6" fillId="0" borderId="13" xfId="0" applyNumberFormat="1" applyFont="1" applyBorder="1" applyAlignment="1">
      <alignment horizontal="center" vertical="center"/>
    </xf>
    <xf numFmtId="182" fontId="6" fillId="0" borderId="362" xfId="0" applyNumberFormat="1" applyFont="1" applyBorder="1" applyAlignment="1">
      <alignment horizontal="center" vertical="center"/>
    </xf>
    <xf numFmtId="182" fontId="21" fillId="3" borderId="14" xfId="0" applyNumberFormat="1" applyFont="1" applyFill="1" applyBorder="1" applyAlignment="1">
      <alignment horizontal="center" vertical="center"/>
    </xf>
    <xf numFmtId="182" fontId="21" fillId="3" borderId="116" xfId="0" applyNumberFormat="1" applyFont="1" applyFill="1" applyBorder="1" applyAlignment="1">
      <alignment horizontal="center" vertical="center"/>
    </xf>
    <xf numFmtId="182" fontId="21" fillId="0" borderId="82" xfId="0" applyNumberFormat="1" applyFont="1" applyBorder="1" applyAlignment="1">
      <alignment horizontal="center" vertical="center"/>
    </xf>
    <xf numFmtId="182" fontId="21" fillId="0" borderId="121" xfId="0" applyNumberFormat="1" applyFont="1" applyBorder="1" applyAlignment="1">
      <alignment horizontal="center" vertical="center"/>
    </xf>
    <xf numFmtId="182" fontId="21" fillId="0" borderId="15" xfId="0" applyNumberFormat="1" applyFont="1" applyBorder="1" applyAlignment="1">
      <alignment horizontal="center" vertical="center"/>
    </xf>
    <xf numFmtId="182" fontId="21" fillId="0" borderId="116" xfId="0" applyNumberFormat="1" applyFont="1" applyBorder="1" applyAlignment="1">
      <alignment horizontal="center" vertical="center"/>
    </xf>
    <xf numFmtId="182" fontId="21" fillId="0" borderId="7" xfId="0" applyNumberFormat="1" applyFont="1" applyBorder="1" applyAlignment="1">
      <alignment horizontal="center" vertical="center"/>
    </xf>
    <xf numFmtId="182" fontId="21" fillId="3" borderId="7" xfId="0" applyNumberFormat="1" applyFont="1" applyFill="1" applyBorder="1" applyAlignment="1">
      <alignment horizontal="center" vertical="center"/>
    </xf>
    <xf numFmtId="182" fontId="21" fillId="3" borderId="15" xfId="0" applyNumberFormat="1" applyFont="1" applyFill="1" applyBorder="1" applyAlignment="1">
      <alignment horizontal="center" vertical="center"/>
    </xf>
    <xf numFmtId="182" fontId="6" fillId="3" borderId="43" xfId="0" applyNumberFormat="1" applyFont="1" applyFill="1" applyBorder="1" applyAlignment="1">
      <alignment horizontal="center" vertical="center"/>
    </xf>
    <xf numFmtId="182" fontId="6" fillId="0" borderId="16" xfId="0" applyNumberFormat="1" applyFont="1" applyBorder="1" applyAlignment="1">
      <alignment horizontal="center" vertical="center"/>
    </xf>
    <xf numFmtId="0" fontId="61" fillId="55" borderId="365" xfId="0" applyFont="1" applyFill="1" applyBorder="1" applyAlignment="1">
      <alignment horizontal="center" vertical="center"/>
    </xf>
    <xf numFmtId="182" fontId="21" fillId="3" borderId="24" xfId="0" applyNumberFormat="1" applyFont="1" applyFill="1" applyBorder="1" applyAlignment="1">
      <alignment horizontal="center" vertical="center"/>
    </xf>
    <xf numFmtId="182" fontId="6" fillId="3" borderId="366" xfId="0" applyNumberFormat="1" applyFont="1" applyFill="1" applyBorder="1" applyAlignment="1">
      <alignment horizontal="center" vertical="center"/>
    </xf>
    <xf numFmtId="182" fontId="6" fillId="3" borderId="367" xfId="0" applyNumberFormat="1" applyFont="1" applyFill="1" applyBorder="1" applyAlignment="1">
      <alignment horizontal="center" vertical="center"/>
    </xf>
    <xf numFmtId="182" fontId="6" fillId="3" borderId="368" xfId="0" applyNumberFormat="1" applyFont="1" applyFill="1" applyBorder="1" applyAlignment="1">
      <alignment horizontal="center" vertical="center"/>
    </xf>
    <xf numFmtId="0" fontId="61" fillId="55" borderId="37" xfId="0" applyFont="1" applyFill="1" applyBorder="1" applyAlignment="1">
      <alignment horizontal="center" vertical="center"/>
    </xf>
    <xf numFmtId="182" fontId="6" fillId="0" borderId="37" xfId="0" applyNumberFormat="1" applyFont="1" applyBorder="1" applyAlignment="1">
      <alignment horizontal="center" vertical="center"/>
    </xf>
    <xf numFmtId="182" fontId="21" fillId="0" borderId="199" xfId="0" applyNumberFormat="1" applyFont="1" applyBorder="1" applyAlignment="1">
      <alignment horizontal="center" vertical="center"/>
    </xf>
    <xf numFmtId="182" fontId="6" fillId="0" borderId="370" xfId="0" applyNumberFormat="1" applyFont="1" applyBorder="1" applyAlignment="1">
      <alignment horizontal="center" vertical="center"/>
    </xf>
    <xf numFmtId="182" fontId="6" fillId="0" borderId="371" xfId="0" applyNumberFormat="1" applyFont="1" applyBorder="1" applyAlignment="1">
      <alignment horizontal="center" vertical="center"/>
    </xf>
    <xf numFmtId="182" fontId="6" fillId="0" borderId="122" xfId="0" applyNumberFormat="1" applyFont="1" applyBorder="1" applyAlignment="1">
      <alignment horizontal="center" vertical="center"/>
    </xf>
    <xf numFmtId="182" fontId="6" fillId="0" borderId="369" xfId="0" applyNumberFormat="1" applyFont="1" applyBorder="1" applyAlignment="1">
      <alignment horizontal="center" vertical="center"/>
    </xf>
    <xf numFmtId="182" fontId="21" fillId="0" borderId="120" xfId="0" applyNumberFormat="1" applyFont="1" applyBorder="1" applyAlignment="1">
      <alignment horizontal="center" vertical="center"/>
    </xf>
    <xf numFmtId="0" fontId="61" fillId="55" borderId="369" xfId="0" applyFont="1" applyFill="1" applyBorder="1" applyAlignment="1">
      <alignment horizontal="center" vertical="center"/>
    </xf>
    <xf numFmtId="0" fontId="61" fillId="55" borderId="129" xfId="0" applyFont="1" applyFill="1" applyBorder="1" applyAlignment="1">
      <alignment horizontal="center" vertical="center"/>
    </xf>
    <xf numFmtId="182" fontId="6" fillId="0" borderId="30" xfId="0" applyNumberFormat="1" applyFont="1" applyBorder="1" applyAlignment="1">
      <alignment horizontal="center" vertical="center"/>
    </xf>
    <xf numFmtId="182" fontId="21" fillId="3" borderId="120" xfId="0" applyNumberFormat="1" applyFont="1" applyFill="1" applyBorder="1" applyAlignment="1">
      <alignment horizontal="center" vertical="center"/>
    </xf>
    <xf numFmtId="182" fontId="6" fillId="3" borderId="370" xfId="0" applyNumberFormat="1" applyFont="1" applyFill="1" applyBorder="1" applyAlignment="1">
      <alignment horizontal="center" vertical="center"/>
    </xf>
    <xf numFmtId="182" fontId="6" fillId="3" borderId="369" xfId="0" applyNumberFormat="1" applyFont="1" applyFill="1" applyBorder="1" applyAlignment="1">
      <alignment horizontal="center" vertical="center"/>
    </xf>
    <xf numFmtId="0" fontId="18" fillId="56" borderId="1" xfId="0" applyFont="1" applyFill="1" applyBorder="1" applyAlignment="1">
      <alignment horizontal="center"/>
    </xf>
    <xf numFmtId="3" fontId="6" fillId="0" borderId="28" xfId="0" applyNumberFormat="1" applyFont="1" applyBorder="1" applyAlignment="1">
      <alignment horizontal="center" vertical="center"/>
    </xf>
    <xf numFmtId="3" fontId="6" fillId="0" borderId="5" xfId="0" applyNumberFormat="1" applyFont="1" applyBorder="1" applyAlignment="1">
      <alignment horizontal="center" vertical="center"/>
    </xf>
    <xf numFmtId="3" fontId="144" fillId="54" borderId="34" xfId="0" applyNumberFormat="1" applyFont="1" applyFill="1" applyBorder="1" applyAlignment="1">
      <alignment horizontal="center" vertical="center"/>
    </xf>
    <xf numFmtId="0" fontId="18" fillId="56" borderId="161" xfId="0" applyFont="1" applyFill="1" applyBorder="1" applyAlignment="1">
      <alignment vertical="center"/>
    </xf>
    <xf numFmtId="0" fontId="18" fillId="56" borderId="158" xfId="0" applyFont="1" applyFill="1" applyBorder="1" applyAlignment="1">
      <alignment horizontal="center" vertical="center"/>
    </xf>
    <xf numFmtId="0" fontId="21" fillId="55" borderId="161" xfId="0" applyFont="1" applyFill="1" applyBorder="1" applyAlignment="1">
      <alignment vertical="center" wrapText="1"/>
    </xf>
    <xf numFmtId="3" fontId="144" fillId="54" borderId="158" xfId="0" applyNumberFormat="1" applyFont="1" applyFill="1" applyBorder="1" applyAlignment="1">
      <alignment horizontal="center" vertical="center"/>
    </xf>
    <xf numFmtId="0" fontId="18" fillId="56" borderId="159" xfId="0" applyFont="1" applyFill="1" applyBorder="1" applyAlignment="1">
      <alignment horizontal="center" vertical="center"/>
    </xf>
    <xf numFmtId="3" fontId="6" fillId="0" borderId="7" xfId="0" applyNumberFormat="1" applyFont="1" applyBorder="1" applyAlignment="1">
      <alignment horizontal="center" vertical="center"/>
    </xf>
    <xf numFmtId="3" fontId="6" fillId="0" borderId="3" xfId="0" applyNumberFormat="1" applyFont="1" applyBorder="1" applyAlignment="1">
      <alignment horizontal="center" vertical="center"/>
    </xf>
    <xf numFmtId="3" fontId="144" fillId="54" borderId="37" xfId="0" applyNumberFormat="1" applyFont="1" applyFill="1" applyBorder="1" applyAlignment="1">
      <alignment horizontal="center" vertical="center"/>
    </xf>
    <xf numFmtId="3" fontId="144" fillId="54" borderId="159" xfId="0" applyNumberFormat="1" applyFont="1" applyFill="1" applyBorder="1" applyAlignment="1">
      <alignment horizontal="center" vertical="center"/>
    </xf>
    <xf numFmtId="0" fontId="18" fillId="56" borderId="157" xfId="0" applyFont="1" applyFill="1" applyBorder="1" applyAlignment="1">
      <alignment vertical="center" wrapText="1"/>
    </xf>
    <xf numFmtId="0" fontId="144" fillId="54" borderId="40" xfId="0" applyFont="1" applyFill="1" applyBorder="1" applyAlignment="1">
      <alignment vertical="center" wrapText="1"/>
    </xf>
    <xf numFmtId="0" fontId="144" fillId="54" borderId="92" xfId="0" applyFont="1" applyFill="1" applyBorder="1" applyAlignment="1">
      <alignment vertical="center" wrapText="1"/>
    </xf>
    <xf numFmtId="0" fontId="144" fillId="54" borderId="35" xfId="0" applyFont="1" applyFill="1" applyBorder="1" applyAlignment="1">
      <alignment vertical="center" wrapText="1"/>
    </xf>
    <xf numFmtId="0" fontId="144" fillId="54" borderId="157" xfId="0" applyFont="1" applyFill="1" applyBorder="1" applyAlignment="1">
      <alignment vertical="center" wrapText="1"/>
    </xf>
    <xf numFmtId="0" fontId="6" fillId="55" borderId="19" xfId="0" applyFont="1" applyFill="1" applyBorder="1" applyAlignment="1">
      <alignment vertical="center" wrapText="1"/>
    </xf>
    <xf numFmtId="0" fontId="21" fillId="55" borderId="84" xfId="0" applyFont="1" applyFill="1" applyBorder="1" applyAlignment="1">
      <alignment vertical="center" wrapText="1"/>
    </xf>
    <xf numFmtId="3" fontId="6" fillId="54" borderId="34" xfId="0" applyNumberFormat="1" applyFont="1" applyFill="1" applyBorder="1" applyAlignment="1">
      <alignment horizontal="center" vertical="center"/>
    </xf>
    <xf numFmtId="3" fontId="6" fillId="54" borderId="37" xfId="0" applyNumberFormat="1" applyFont="1" applyFill="1" applyBorder="1" applyAlignment="1">
      <alignment horizontal="center" vertical="center"/>
    </xf>
    <xf numFmtId="0" fontId="28" fillId="0" borderId="0" xfId="0" applyFont="1" applyAlignment="1">
      <alignment horizontal="left"/>
    </xf>
    <xf numFmtId="0" fontId="52" fillId="0" borderId="0" xfId="0" applyFont="1" applyAlignment="1">
      <alignment horizontal="left" wrapText="1"/>
    </xf>
    <xf numFmtId="0" fontId="6" fillId="55" borderId="84" xfId="0" applyFont="1" applyFill="1" applyBorder="1" applyAlignment="1">
      <alignment vertical="center" wrapText="1"/>
    </xf>
    <xf numFmtId="3" fontId="144" fillId="3" borderId="34" xfId="0" applyNumberFormat="1" applyFont="1" applyFill="1" applyBorder="1" applyAlignment="1">
      <alignment horizontal="center" vertical="center"/>
    </xf>
    <xf numFmtId="0" fontId="6" fillId="55" borderId="89" xfId="0" applyFont="1" applyFill="1" applyBorder="1" applyAlignment="1">
      <alignment vertical="center" wrapText="1"/>
    </xf>
    <xf numFmtId="0" fontId="144" fillId="54" borderId="42" xfId="0" applyFont="1" applyFill="1" applyBorder="1" applyAlignment="1">
      <alignment vertical="center" wrapText="1"/>
    </xf>
    <xf numFmtId="3" fontId="6" fillId="0" borderId="6" xfId="0" applyNumberFormat="1" applyFont="1" applyBorder="1" applyAlignment="1">
      <alignment horizontal="center" vertical="center"/>
    </xf>
    <xf numFmtId="3" fontId="6" fillId="0" borderId="28" xfId="5" applyNumberFormat="1" applyFont="1" applyFill="1" applyBorder="1" applyAlignment="1">
      <alignment horizontal="center" vertical="center"/>
    </xf>
    <xf numFmtId="0" fontId="18" fillId="56" borderId="161" xfId="0" applyFont="1" applyFill="1" applyBorder="1"/>
    <xf numFmtId="0" fontId="18" fillId="56" borderId="158" xfId="0" applyFont="1" applyFill="1" applyBorder="1" applyAlignment="1">
      <alignment horizontal="center"/>
    </xf>
    <xf numFmtId="0" fontId="18" fillId="56" borderId="159" xfId="0" applyFont="1" applyFill="1" applyBorder="1" applyAlignment="1">
      <alignment horizontal="center"/>
    </xf>
    <xf numFmtId="3" fontId="6" fillId="0" borderId="3" xfId="5" applyNumberFormat="1" applyFont="1" applyFill="1" applyBorder="1" applyAlignment="1">
      <alignment horizontal="center" vertical="center"/>
    </xf>
    <xf numFmtId="3" fontId="144" fillId="3" borderId="37" xfId="0" applyNumberFormat="1" applyFont="1" applyFill="1" applyBorder="1" applyAlignment="1">
      <alignment horizontal="center" vertical="center"/>
    </xf>
    <xf numFmtId="0" fontId="18" fillId="56" borderId="157" xfId="0" applyFont="1" applyFill="1" applyBorder="1" applyAlignment="1">
      <alignment wrapText="1"/>
    </xf>
    <xf numFmtId="0" fontId="63" fillId="56" borderId="30" xfId="0" applyFont="1" applyFill="1" applyBorder="1" applyAlignment="1">
      <alignment horizontal="center" vertical="center"/>
    </xf>
    <xf numFmtId="0" fontId="63" fillId="56" borderId="29" xfId="0" applyFont="1" applyFill="1" applyBorder="1" applyAlignment="1">
      <alignment horizontal="center" vertical="center"/>
    </xf>
    <xf numFmtId="0" fontId="145" fillId="55" borderId="40" xfId="0" applyFont="1" applyFill="1" applyBorder="1" applyAlignment="1">
      <alignment horizontal="left" vertical="center" wrapText="1"/>
    </xf>
    <xf numFmtId="0" fontId="145" fillId="55" borderId="92" xfId="0" applyFont="1" applyFill="1" applyBorder="1" applyAlignment="1">
      <alignment horizontal="left" vertical="center" wrapText="1"/>
    </xf>
    <xf numFmtId="0" fontId="145" fillId="55" borderId="94" xfId="0" applyFont="1" applyFill="1" applyBorder="1" applyAlignment="1">
      <alignment horizontal="left" vertical="center" wrapText="1"/>
    </xf>
    <xf numFmtId="0" fontId="145" fillId="55" borderId="12" xfId="0" applyFont="1" applyFill="1" applyBorder="1" applyAlignment="1">
      <alignment horizontal="left" vertical="center" wrapText="1"/>
    </xf>
    <xf numFmtId="0" fontId="145" fillId="55" borderId="35" xfId="0" applyFont="1" applyFill="1" applyBorder="1" applyAlignment="1">
      <alignment horizontal="left" vertical="center" wrapText="1"/>
    </xf>
    <xf numFmtId="0" fontId="145" fillId="55" borderId="42" xfId="0" applyFont="1" applyFill="1" applyBorder="1" applyAlignment="1">
      <alignment horizontal="left" vertical="center" wrapText="1"/>
    </xf>
    <xf numFmtId="0" fontId="8" fillId="56" borderId="132" xfId="0" applyFont="1" applyFill="1" applyBorder="1" applyAlignment="1">
      <alignment horizontal="center" vertical="center"/>
    </xf>
    <xf numFmtId="0" fontId="8" fillId="3" borderId="128" xfId="0" applyFont="1" applyFill="1" applyBorder="1" applyAlignment="1">
      <alignment horizontal="left" vertical="center"/>
    </xf>
    <xf numFmtId="0" fontId="6" fillId="0" borderId="374" xfId="1" applyNumberFormat="1" applyFont="1" applyFill="1" applyBorder="1" applyAlignment="1">
      <alignment horizontal="center" vertical="center"/>
    </xf>
    <xf numFmtId="0" fontId="6" fillId="0" borderId="358" xfId="1" applyNumberFormat="1" applyFont="1" applyFill="1" applyBorder="1" applyAlignment="1">
      <alignment horizontal="center" vertical="center"/>
    </xf>
    <xf numFmtId="0" fontId="6" fillId="0" borderId="30" xfId="1" applyNumberFormat="1" applyFont="1" applyFill="1" applyBorder="1" applyAlignment="1">
      <alignment horizontal="center" vertical="center"/>
    </xf>
    <xf numFmtId="0" fontId="6" fillId="0" borderId="357" xfId="1" applyNumberFormat="1" applyFont="1" applyFill="1" applyBorder="1" applyAlignment="1">
      <alignment horizontal="center" vertical="center"/>
    </xf>
    <xf numFmtId="0" fontId="6" fillId="3" borderId="30" xfId="1" applyNumberFormat="1" applyFont="1" applyFill="1" applyBorder="1" applyAlignment="1">
      <alignment horizontal="center" vertical="center"/>
    </xf>
    <xf numFmtId="0" fontId="6" fillId="3" borderId="374" xfId="1" applyNumberFormat="1" applyFont="1" applyFill="1" applyBorder="1" applyAlignment="1">
      <alignment horizontal="center" vertical="center"/>
    </xf>
    <xf numFmtId="3" fontId="6" fillId="3" borderId="359" xfId="1" applyNumberFormat="1" applyFont="1" applyFill="1" applyBorder="1" applyAlignment="1">
      <alignment horizontal="center" vertical="center"/>
    </xf>
    <xf numFmtId="0" fontId="6" fillId="3" borderId="358" xfId="1" applyNumberFormat="1" applyFont="1" applyFill="1" applyBorder="1" applyAlignment="1">
      <alignment horizontal="center" vertical="center"/>
    </xf>
    <xf numFmtId="3" fontId="6" fillId="3" borderId="360" xfId="1" applyNumberFormat="1" applyFont="1" applyFill="1" applyBorder="1" applyAlignment="1">
      <alignment horizontal="center" vertical="center"/>
    </xf>
    <xf numFmtId="3" fontId="6" fillId="3" borderId="361" xfId="1" applyNumberFormat="1" applyFont="1" applyFill="1" applyBorder="1" applyAlignment="1">
      <alignment horizontal="center" vertical="center"/>
    </xf>
    <xf numFmtId="3" fontId="6" fillId="3" borderId="99" xfId="1" applyNumberFormat="1" applyFont="1" applyFill="1" applyBorder="1" applyAlignment="1">
      <alignment horizontal="center" vertical="center"/>
    </xf>
    <xf numFmtId="170" fontId="6" fillId="0" borderId="358" xfId="1" applyNumberFormat="1" applyFont="1" applyFill="1" applyBorder="1" applyAlignment="1">
      <alignment horizontal="center" vertical="center"/>
    </xf>
    <xf numFmtId="170" fontId="6" fillId="0" borderId="374" xfId="1" applyNumberFormat="1" applyFont="1" applyFill="1" applyBorder="1" applyAlignment="1">
      <alignment horizontal="center" vertical="center"/>
    </xf>
    <xf numFmtId="170" fontId="6" fillId="3" borderId="358" xfId="1" applyNumberFormat="1" applyFont="1" applyFill="1" applyBorder="1" applyAlignment="1">
      <alignment horizontal="center" vertical="center"/>
    </xf>
    <xf numFmtId="0" fontId="11" fillId="55" borderId="162" xfId="0" applyFont="1" applyFill="1" applyBorder="1" applyAlignment="1">
      <alignment vertical="center" wrapText="1"/>
    </xf>
    <xf numFmtId="0" fontId="11" fillId="55" borderId="23" xfId="0" applyFont="1" applyFill="1" applyBorder="1" applyAlignment="1">
      <alignment vertical="center" wrapText="1"/>
    </xf>
    <xf numFmtId="0" fontId="6" fillId="55" borderId="36" xfId="0" applyFont="1" applyFill="1" applyBorder="1" applyAlignment="1">
      <alignment vertical="center" wrapText="1"/>
    </xf>
    <xf numFmtId="0" fontId="6" fillId="55" borderId="162" xfId="0" applyFont="1" applyFill="1" applyBorder="1" applyAlignment="1">
      <alignment vertical="center" wrapText="1"/>
    </xf>
    <xf numFmtId="0" fontId="6" fillId="55" borderId="23" xfId="0" applyFont="1" applyFill="1" applyBorder="1" applyAlignment="1">
      <alignment vertical="center" wrapText="1"/>
    </xf>
    <xf numFmtId="0" fontId="6" fillId="55" borderId="23" xfId="0" applyFont="1" applyFill="1" applyBorder="1" applyAlignment="1">
      <alignment horizontal="left" vertical="center" wrapText="1"/>
    </xf>
    <xf numFmtId="0" fontId="11" fillId="55" borderId="113" xfId="0" applyFont="1" applyFill="1" applyBorder="1" applyAlignment="1">
      <alignment vertical="center" wrapText="1"/>
    </xf>
    <xf numFmtId="0" fontId="8" fillId="2" borderId="22" xfId="0" applyFont="1" applyFill="1" applyBorder="1" applyAlignment="1">
      <alignment horizontal="center" vertical="center"/>
    </xf>
    <xf numFmtId="0" fontId="151" fillId="3" borderId="0" xfId="0" applyFont="1" applyFill="1"/>
    <xf numFmtId="170" fontId="147" fillId="3" borderId="19" xfId="0" applyNumberFormat="1" applyFont="1" applyFill="1" applyBorder="1" applyAlignment="1">
      <alignment horizontal="center" vertical="center"/>
    </xf>
    <xf numFmtId="170" fontId="147" fillId="3" borderId="86" xfId="0" applyNumberFormat="1" applyFont="1" applyFill="1" applyBorder="1" applyAlignment="1">
      <alignment horizontal="center" vertical="center"/>
    </xf>
    <xf numFmtId="170" fontId="147" fillId="3" borderId="84" xfId="0" applyNumberFormat="1" applyFont="1" applyFill="1" applyBorder="1" applyAlignment="1">
      <alignment horizontal="center" vertical="center"/>
    </xf>
    <xf numFmtId="174" fontId="147" fillId="3" borderId="19" xfId="0" applyNumberFormat="1" applyFont="1" applyFill="1" applyBorder="1" applyAlignment="1">
      <alignment horizontal="center" vertical="center"/>
    </xf>
    <xf numFmtId="170" fontId="147" fillId="3" borderId="87" xfId="0" applyNumberFormat="1" applyFont="1" applyFill="1" applyBorder="1" applyAlignment="1">
      <alignment horizontal="center" vertical="center"/>
    </xf>
    <xf numFmtId="3" fontId="147" fillId="3" borderId="19" xfId="0" applyNumberFormat="1" applyFont="1" applyFill="1" applyBorder="1" applyAlignment="1">
      <alignment horizontal="center" vertical="center"/>
    </xf>
    <xf numFmtId="0" fontId="8" fillId="3" borderId="125" xfId="0" applyFont="1" applyFill="1" applyBorder="1" applyAlignment="1">
      <alignment horizontal="center" vertical="center"/>
    </xf>
    <xf numFmtId="0" fontId="8" fillId="3" borderId="128" xfId="0" applyFont="1" applyFill="1" applyBorder="1" applyAlignment="1">
      <alignment horizontal="center" vertical="center"/>
    </xf>
    <xf numFmtId="0" fontId="8" fillId="56" borderId="39" xfId="0" applyFont="1" applyFill="1" applyBorder="1" applyAlignment="1">
      <alignment horizontal="center" vertical="center"/>
    </xf>
    <xf numFmtId="0" fontId="11" fillId="53" borderId="155" xfId="0" applyFont="1" applyFill="1" applyBorder="1" applyAlignment="1">
      <alignment horizontal="left" wrapText="1"/>
    </xf>
    <xf numFmtId="0" fontId="11" fillId="53" borderId="156" xfId="0" applyFont="1" applyFill="1" applyBorder="1" applyAlignment="1">
      <alignment horizontal="left" wrapText="1"/>
    </xf>
    <xf numFmtId="0" fontId="11" fillId="54" borderId="156" xfId="0" applyFont="1" applyFill="1" applyBorder="1" applyAlignment="1">
      <alignment horizontal="left" wrapText="1"/>
    </xf>
    <xf numFmtId="0" fontId="11" fillId="54" borderId="154" xfId="0" applyFont="1" applyFill="1" applyBorder="1" applyAlignment="1">
      <alignment horizontal="left" wrapText="1"/>
    </xf>
    <xf numFmtId="0" fontId="11" fillId="53" borderId="165" xfId="0" applyFont="1" applyFill="1" applyBorder="1" applyAlignment="1">
      <alignment horizontal="left" wrapText="1"/>
    </xf>
    <xf numFmtId="0" fontId="11" fillId="54" borderId="220" xfId="0" applyFont="1" applyFill="1" applyBorder="1" applyAlignment="1">
      <alignment horizontal="left" wrapText="1"/>
    </xf>
    <xf numFmtId="3" fontId="147" fillId="3" borderId="113" xfId="1" applyNumberFormat="1" applyFont="1" applyFill="1" applyBorder="1" applyAlignment="1">
      <alignment horizontal="center" vertical="center" wrapText="1"/>
    </xf>
    <xf numFmtId="3" fontId="147" fillId="3" borderId="1" xfId="1" applyNumberFormat="1" applyFont="1" applyFill="1" applyBorder="1" applyAlignment="1">
      <alignment horizontal="center" vertical="center" wrapText="1"/>
    </xf>
    <xf numFmtId="2" fontId="147" fillId="3" borderId="19" xfId="0" applyNumberFormat="1" applyFont="1" applyFill="1" applyBorder="1" applyAlignment="1">
      <alignment horizontal="center" vertical="center" wrapText="1"/>
    </xf>
    <xf numFmtId="2" fontId="147" fillId="3" borderId="29" xfId="0" applyNumberFormat="1" applyFont="1" applyFill="1" applyBorder="1" applyAlignment="1">
      <alignment horizontal="center" vertical="center" wrapText="1"/>
    </xf>
    <xf numFmtId="2" fontId="147" fillId="3" borderId="34" xfId="0" applyNumberFormat="1" applyFont="1" applyFill="1" applyBorder="1" applyAlignment="1">
      <alignment horizontal="center" vertical="center" wrapText="1"/>
    </xf>
    <xf numFmtId="1" fontId="147" fillId="3" borderId="89" xfId="0" applyNumberFormat="1" applyFont="1" applyFill="1" applyBorder="1" applyAlignment="1">
      <alignment horizontal="center" vertical="center" wrapText="1"/>
    </xf>
    <xf numFmtId="1" fontId="147" fillId="3" borderId="28" xfId="0" applyNumberFormat="1" applyFont="1" applyFill="1" applyBorder="1" applyAlignment="1">
      <alignment horizontal="center" vertical="center" wrapText="1"/>
    </xf>
    <xf numFmtId="1" fontId="147" fillId="3" borderId="12" xfId="0" applyNumberFormat="1" applyFont="1" applyFill="1" applyBorder="1" applyAlignment="1">
      <alignment horizontal="center" vertical="center" wrapText="1"/>
    </xf>
    <xf numFmtId="1" fontId="147" fillId="3" borderId="87" xfId="0" applyNumberFormat="1" applyFont="1" applyFill="1" applyBorder="1" applyAlignment="1">
      <alignment horizontal="center" vertical="center" wrapText="1"/>
    </xf>
    <xf numFmtId="1" fontId="147" fillId="3" borderId="8" xfId="0" applyNumberFormat="1" applyFont="1" applyFill="1" applyBorder="1" applyAlignment="1">
      <alignment horizontal="center" vertical="center" wrapText="1"/>
    </xf>
    <xf numFmtId="1" fontId="147" fillId="3" borderId="9" xfId="0" applyNumberFormat="1" applyFont="1" applyFill="1" applyBorder="1" applyAlignment="1">
      <alignment horizontal="center" vertical="center" wrapText="1"/>
    </xf>
    <xf numFmtId="3" fontId="147" fillId="3" borderId="19" xfId="1" applyNumberFormat="1" applyFont="1" applyFill="1" applyBorder="1" applyAlignment="1">
      <alignment horizontal="center" vertical="center" wrapText="1"/>
    </xf>
    <xf numFmtId="3" fontId="147" fillId="3" borderId="18" xfId="1" applyNumberFormat="1" applyFont="1" applyFill="1" applyBorder="1" applyAlignment="1">
      <alignment horizontal="center" vertical="center" wrapText="1"/>
    </xf>
    <xf numFmtId="3" fontId="147" fillId="3" borderId="83" xfId="1" applyNumberFormat="1" applyFont="1" applyFill="1" applyBorder="1" applyAlignment="1">
      <alignment horizontal="center" vertical="center" wrapText="1"/>
    </xf>
    <xf numFmtId="0" fontId="7" fillId="56" borderId="39" xfId="0" applyFont="1" applyFill="1" applyBorder="1" applyAlignment="1">
      <alignment horizontal="center" vertical="center"/>
    </xf>
    <xf numFmtId="0" fontId="6" fillId="55" borderId="165" xfId="0" applyFont="1" applyFill="1" applyBorder="1"/>
    <xf numFmtId="0" fontId="6" fillId="55" borderId="156" xfId="0" applyFont="1" applyFill="1" applyBorder="1"/>
    <xf numFmtId="0" fontId="6" fillId="55" borderId="154" xfId="0" applyFont="1" applyFill="1" applyBorder="1"/>
    <xf numFmtId="10" fontId="144" fillId="0" borderId="86" xfId="3" applyNumberFormat="1" applyFont="1" applyBorder="1" applyAlignment="1">
      <alignment horizontal="center" vertical="center"/>
    </xf>
    <xf numFmtId="3" fontId="144" fillId="0" borderId="83" xfId="0" applyNumberFormat="1" applyFont="1" applyBorder="1" applyAlignment="1">
      <alignment horizontal="center" vertical="center"/>
    </xf>
    <xf numFmtId="0" fontId="147" fillId="55" borderId="162" xfId="0" applyFont="1" applyFill="1" applyBorder="1" applyAlignment="1">
      <alignment horizontal="left" vertical="top" wrapText="1"/>
    </xf>
    <xf numFmtId="0" fontId="147" fillId="55" borderId="36" xfId="0" applyFont="1" applyFill="1" applyBorder="1" applyAlignment="1">
      <alignment horizontal="left" vertical="top" wrapText="1"/>
    </xf>
    <xf numFmtId="0" fontId="147" fillId="55" borderId="41" xfId="0" applyFont="1" applyFill="1" applyBorder="1" applyAlignment="1">
      <alignment horizontal="left" vertical="top" wrapText="1"/>
    </xf>
    <xf numFmtId="0" fontId="8" fillId="3" borderId="104" xfId="0" applyFont="1" applyFill="1" applyBorder="1" applyAlignment="1">
      <alignment horizontal="center" vertical="top"/>
    </xf>
    <xf numFmtId="0" fontId="6" fillId="56" borderId="1" xfId="0" applyFont="1" applyFill="1" applyBorder="1" applyAlignment="1">
      <alignment horizontal="left" vertical="center"/>
    </xf>
    <xf numFmtId="0" fontId="48" fillId="3" borderId="1" xfId="0" applyFont="1" applyFill="1" applyBorder="1" applyAlignment="1">
      <alignment horizontal="center" vertical="center" textRotation="90" wrapText="1"/>
    </xf>
    <xf numFmtId="0" fontId="48" fillId="3" borderId="1" xfId="0" applyFont="1" applyFill="1" applyBorder="1" applyAlignment="1">
      <alignment horizontal="center" vertical="center" textRotation="90"/>
    </xf>
    <xf numFmtId="0" fontId="6" fillId="56" borderId="28" xfId="0" applyFont="1" applyFill="1" applyBorder="1" applyAlignment="1">
      <alignment horizontal="left" vertical="center"/>
    </xf>
    <xf numFmtId="0" fontId="14" fillId="68" borderId="13" xfId="0" applyFont="1" applyFill="1" applyBorder="1" applyAlignment="1">
      <alignment vertical="top"/>
    </xf>
    <xf numFmtId="0" fontId="6" fillId="68" borderId="18" xfId="0" applyFont="1" applyFill="1" applyBorder="1" applyAlignment="1">
      <alignment horizontal="center" vertical="center"/>
    </xf>
    <xf numFmtId="0" fontId="8" fillId="3" borderId="52" xfId="0" applyFont="1" applyFill="1" applyBorder="1" applyAlignment="1">
      <alignment horizontal="center" vertical="center" wrapText="1"/>
    </xf>
    <xf numFmtId="0" fontId="8" fillId="3" borderId="30" xfId="0" applyFont="1" applyFill="1" applyBorder="1" applyAlignment="1">
      <alignment horizontal="center"/>
    </xf>
    <xf numFmtId="0" fontId="6" fillId="55" borderId="4" xfId="0" applyFont="1" applyFill="1" applyBorder="1" applyAlignment="1">
      <alignment horizontal="left" vertical="top" wrapText="1"/>
    </xf>
    <xf numFmtId="0" fontId="6" fillId="68" borderId="22" xfId="0" applyFont="1" applyFill="1" applyBorder="1" applyAlignment="1">
      <alignment horizontal="left" vertical="top" wrapText="1"/>
    </xf>
    <xf numFmtId="0" fontId="51" fillId="0" borderId="83" xfId="0" applyFont="1" applyBorder="1"/>
    <xf numFmtId="0" fontId="51" fillId="9" borderId="83" xfId="0" applyFont="1" applyFill="1" applyBorder="1"/>
    <xf numFmtId="0" fontId="51" fillId="0" borderId="83" xfId="0" applyFont="1" applyBorder="1" applyAlignment="1">
      <alignment vertical="top" wrapText="1"/>
    </xf>
    <xf numFmtId="0" fontId="51" fillId="0" borderId="86" xfId="0" applyFont="1" applyBorder="1" applyAlignment="1">
      <alignment vertical="top" wrapText="1"/>
    </xf>
    <xf numFmtId="0" fontId="6" fillId="68" borderId="165" xfId="0" applyFont="1" applyFill="1" applyBorder="1" applyAlignment="1">
      <alignment horizontal="left" vertical="top" wrapText="1"/>
    </xf>
    <xf numFmtId="0" fontId="51" fillId="0" borderId="156" xfId="0" applyFont="1" applyBorder="1"/>
    <xf numFmtId="0" fontId="51" fillId="9" borderId="156" xfId="0" applyFont="1" applyFill="1" applyBorder="1"/>
    <xf numFmtId="0" fontId="51" fillId="0" borderId="156" xfId="0" applyFont="1" applyBorder="1" applyAlignment="1">
      <alignment vertical="top" wrapText="1"/>
    </xf>
    <xf numFmtId="0" fontId="51" fillId="0" borderId="154" xfId="0" applyFont="1" applyBorder="1" applyAlignment="1">
      <alignment vertical="top" wrapText="1"/>
    </xf>
    <xf numFmtId="0" fontId="8" fillId="56" borderId="38" xfId="0" applyFont="1" applyFill="1" applyBorder="1" applyAlignment="1">
      <alignment horizontal="center" vertical="center"/>
    </xf>
    <xf numFmtId="0" fontId="6" fillId="68" borderId="15" xfId="0" applyFont="1" applyFill="1" applyBorder="1" applyAlignment="1">
      <alignment horizontal="left" vertical="top" wrapText="1"/>
    </xf>
    <xf numFmtId="0" fontId="10" fillId="0" borderId="18" xfId="0" applyFont="1" applyBorder="1"/>
    <xf numFmtId="0" fontId="10" fillId="0" borderId="18" xfId="0" applyFont="1" applyBorder="1" applyAlignment="1">
      <alignment vertical="top" wrapText="1"/>
    </xf>
    <xf numFmtId="0" fontId="10" fillId="0" borderId="129" xfId="0" applyFont="1" applyBorder="1" applyAlignment="1">
      <alignment vertical="top" wrapText="1"/>
    </xf>
    <xf numFmtId="0" fontId="10" fillId="0" borderId="156" xfId="0" applyFont="1" applyBorder="1"/>
    <xf numFmtId="0" fontId="10" fillId="0" borderId="156" xfId="0" applyFont="1" applyBorder="1" applyAlignment="1">
      <alignment vertical="top" wrapText="1"/>
    </xf>
    <xf numFmtId="0" fontId="10" fillId="0" borderId="154" xfId="0" applyFont="1" applyBorder="1" applyAlignment="1">
      <alignment vertical="top" wrapText="1"/>
    </xf>
    <xf numFmtId="0" fontId="14" fillId="68" borderId="31" xfId="0" applyFont="1" applyFill="1" applyBorder="1" applyAlignment="1">
      <alignment vertical="top"/>
    </xf>
    <xf numFmtId="0" fontId="14" fillId="68" borderId="33" xfId="0" applyFont="1" applyFill="1" applyBorder="1" applyAlignment="1">
      <alignment vertical="top"/>
    </xf>
    <xf numFmtId="0" fontId="14" fillId="68" borderId="0" xfId="0" applyFont="1" applyFill="1" applyAlignment="1">
      <alignment vertical="top"/>
    </xf>
    <xf numFmtId="0" fontId="14" fillId="68" borderId="90" xfId="0" applyFont="1" applyFill="1" applyBorder="1" applyAlignment="1">
      <alignment vertical="top"/>
    </xf>
    <xf numFmtId="0" fontId="6" fillId="68" borderId="0" xfId="0" applyFont="1" applyFill="1" applyAlignment="1">
      <alignment horizontal="center" vertical="center"/>
    </xf>
    <xf numFmtId="0" fontId="6" fillId="68" borderId="83" xfId="0" applyFont="1" applyFill="1" applyBorder="1" applyAlignment="1">
      <alignment horizontal="center" vertical="center"/>
    </xf>
    <xf numFmtId="170" fontId="11" fillId="3" borderId="34" xfId="0" applyNumberFormat="1" applyFont="1" applyFill="1" applyBorder="1" applyAlignment="1">
      <alignment horizontal="center" vertical="center"/>
    </xf>
    <xf numFmtId="0" fontId="8" fillId="3" borderId="0" xfId="0" applyFont="1" applyFill="1" applyAlignment="1">
      <alignment horizontal="left" vertical="center" wrapText="1"/>
    </xf>
    <xf numFmtId="0" fontId="18" fillId="56" borderId="161" xfId="0" applyFont="1" applyFill="1" applyBorder="1" applyAlignment="1">
      <alignment horizontal="center" vertical="center"/>
    </xf>
    <xf numFmtId="0" fontId="6" fillId="0" borderId="3" xfId="0" applyFont="1" applyBorder="1" applyAlignment="1">
      <alignment horizontal="center" vertical="center"/>
    </xf>
    <xf numFmtId="0" fontId="11" fillId="0" borderId="3" xfId="0" applyFont="1" applyBorder="1" applyAlignment="1">
      <alignment horizontal="center" vertical="center"/>
    </xf>
    <xf numFmtId="170" fontId="11" fillId="0" borderId="3" xfId="0" applyNumberFormat="1" applyFont="1" applyBorder="1" applyAlignment="1">
      <alignment horizontal="center" vertical="center"/>
    </xf>
    <xf numFmtId="170" fontId="11" fillId="3" borderId="37" xfId="0" applyNumberFormat="1" applyFont="1" applyFill="1" applyBorder="1" applyAlignment="1">
      <alignment horizontal="center" vertical="center"/>
    </xf>
    <xf numFmtId="0" fontId="6" fillId="55" borderId="165" xfId="0" applyFont="1" applyFill="1" applyBorder="1" applyAlignment="1">
      <alignment horizontal="left" vertical="top" wrapText="1"/>
    </xf>
    <xf numFmtId="0" fontId="23" fillId="55" borderId="156" xfId="0" applyFont="1" applyFill="1" applyBorder="1" applyAlignment="1">
      <alignment horizontal="left" vertical="top" wrapText="1"/>
    </xf>
    <xf numFmtId="0" fontId="6" fillId="55" borderId="131" xfId="0" applyFont="1" applyFill="1" applyBorder="1" applyAlignment="1">
      <alignment wrapText="1"/>
    </xf>
    <xf numFmtId="0" fontId="24" fillId="55" borderId="156" xfId="0" applyFont="1" applyFill="1" applyBorder="1" applyAlignment="1">
      <alignment horizontal="left" vertical="top" wrapText="1"/>
    </xf>
    <xf numFmtId="0" fontId="6" fillId="55" borderId="156" xfId="0" applyFont="1" applyFill="1" applyBorder="1" applyAlignment="1">
      <alignment horizontal="left" vertical="top"/>
    </xf>
    <xf numFmtId="0" fontId="24" fillId="55" borderId="154" xfId="0" applyFont="1" applyFill="1" applyBorder="1" applyAlignment="1">
      <alignment horizontal="left" vertical="top" wrapText="1"/>
    </xf>
    <xf numFmtId="0" fontId="10" fillId="0" borderId="31" xfId="0" applyFont="1" applyBorder="1" applyAlignment="1">
      <alignment wrapText="1"/>
    </xf>
    <xf numFmtId="0" fontId="8" fillId="3" borderId="93" xfId="0" applyFont="1" applyFill="1" applyBorder="1" applyAlignment="1">
      <alignment wrapText="1"/>
    </xf>
    <xf numFmtId="0" fontId="6" fillId="55" borderId="22" xfId="0" applyFont="1" applyFill="1" applyBorder="1" applyAlignment="1">
      <alignment horizontal="left" vertical="center" wrapText="1"/>
    </xf>
    <xf numFmtId="0" fontId="6" fillId="55" borderId="83" xfId="0" applyFont="1" applyFill="1" applyBorder="1" applyAlignment="1">
      <alignment horizontal="left" vertical="center" wrapText="1"/>
    </xf>
    <xf numFmtId="0" fontId="6" fillId="55" borderId="86" xfId="0" applyFont="1" applyFill="1" applyBorder="1" applyAlignment="1">
      <alignment horizontal="left" vertical="center" wrapText="1"/>
    </xf>
    <xf numFmtId="0" fontId="6" fillId="55" borderId="90" xfId="0" applyFont="1" applyFill="1" applyBorder="1" applyAlignment="1">
      <alignment horizontal="left" vertical="center" wrapText="1"/>
    </xf>
    <xf numFmtId="0" fontId="6" fillId="55" borderId="88" xfId="0" applyFont="1" applyFill="1" applyBorder="1" applyAlignment="1">
      <alignment horizontal="left" vertical="center" wrapText="1"/>
    </xf>
    <xf numFmtId="172" fontId="0" fillId="0" borderId="0" xfId="0" applyNumberFormat="1" applyAlignment="1">
      <alignment horizontal="center" vertical="center"/>
    </xf>
    <xf numFmtId="0" fontId="8" fillId="3" borderId="43" xfId="0" applyFont="1" applyFill="1" applyBorder="1" applyAlignment="1">
      <alignment horizontal="left"/>
    </xf>
    <xf numFmtId="0" fontId="8" fillId="3" borderId="41" xfId="0" applyFont="1" applyFill="1" applyBorder="1" applyAlignment="1">
      <alignment horizontal="left" wrapText="1"/>
    </xf>
    <xf numFmtId="173" fontId="6" fillId="61" borderId="52" xfId="1" applyNumberFormat="1" applyFont="1" applyFill="1" applyBorder="1" applyAlignment="1">
      <alignment horizontal="right" vertical="center" wrapText="1"/>
    </xf>
    <xf numFmtId="3" fontId="7" fillId="62" borderId="104" xfId="0" applyNumberFormat="1" applyFont="1" applyFill="1" applyBorder="1" applyAlignment="1">
      <alignment horizontal="right" vertical="center" wrapText="1"/>
    </xf>
    <xf numFmtId="173" fontId="6" fillId="61" borderId="12" xfId="1" applyNumberFormat="1" applyFont="1" applyFill="1" applyBorder="1" applyAlignment="1">
      <alignment horizontal="right" vertical="center" wrapText="1"/>
    </xf>
    <xf numFmtId="0" fontId="10" fillId="0" borderId="41" xfId="0" applyFont="1" applyBorder="1" applyAlignment="1">
      <alignment horizontal="right" vertical="center"/>
    </xf>
    <xf numFmtId="0" fontId="48" fillId="0" borderId="41" xfId="0" applyFont="1" applyBorder="1" applyAlignment="1">
      <alignment horizontal="right" vertical="center"/>
    </xf>
    <xf numFmtId="0" fontId="6" fillId="55" borderId="59" xfId="0" applyFont="1" applyFill="1" applyBorder="1" applyAlignment="1">
      <alignment horizontal="left" vertical="center" wrapText="1"/>
    </xf>
    <xf numFmtId="0" fontId="6" fillId="55" borderId="61" xfId="0" applyFont="1" applyFill="1" applyBorder="1" applyAlignment="1">
      <alignment horizontal="left" vertical="center" wrapText="1"/>
    </xf>
    <xf numFmtId="0" fontId="6" fillId="55" borderId="189" xfId="0" applyFont="1" applyFill="1" applyBorder="1" applyAlignment="1">
      <alignment horizontal="left" vertical="center" wrapText="1"/>
    </xf>
    <xf numFmtId="0" fontId="7" fillId="55" borderId="69" xfId="0" applyFont="1" applyFill="1" applyBorder="1" applyAlignment="1">
      <alignment horizontal="left" vertical="center" wrapText="1"/>
    </xf>
    <xf numFmtId="0" fontId="6" fillId="55" borderId="190" xfId="0" applyFont="1" applyFill="1" applyBorder="1" applyAlignment="1">
      <alignment horizontal="left" vertical="center" wrapText="1"/>
    </xf>
    <xf numFmtId="0" fontId="7" fillId="55" borderId="53" xfId="0" applyFont="1" applyFill="1" applyBorder="1" applyAlignment="1">
      <alignment horizontal="center" vertical="center" wrapText="1"/>
    </xf>
    <xf numFmtId="0" fontId="7" fillId="55" borderId="185" xfId="0" applyFont="1" applyFill="1" applyBorder="1" applyAlignment="1">
      <alignment horizontal="center" vertical="center" wrapText="1"/>
    </xf>
    <xf numFmtId="0" fontId="7" fillId="55" borderId="167" xfId="0" applyFont="1" applyFill="1" applyBorder="1" applyAlignment="1">
      <alignment horizontal="center" vertical="center" wrapText="1"/>
    </xf>
    <xf numFmtId="0" fontId="7" fillId="55" borderId="78" xfId="0" applyFont="1" applyFill="1" applyBorder="1" applyAlignment="1">
      <alignment horizontal="center" vertical="center" wrapText="1"/>
    </xf>
    <xf numFmtId="0" fontId="7" fillId="3" borderId="105" xfId="0" applyFont="1" applyFill="1" applyBorder="1" applyAlignment="1">
      <alignment horizontal="center" vertical="center" textRotation="90" wrapText="1"/>
    </xf>
    <xf numFmtId="0" fontId="6" fillId="56" borderId="169" xfId="0" applyFont="1" applyFill="1" applyBorder="1" applyAlignment="1">
      <alignment horizontal="left" vertical="center"/>
    </xf>
    <xf numFmtId="0" fontId="6" fillId="56" borderId="156" xfId="0" applyFont="1" applyFill="1" applyBorder="1" applyAlignment="1">
      <alignment horizontal="left" vertical="center"/>
    </xf>
    <xf numFmtId="0" fontId="6" fillId="56" borderId="92" xfId="0" applyFont="1" applyFill="1" applyBorder="1" applyAlignment="1">
      <alignment horizontal="left" vertical="center"/>
    </xf>
    <xf numFmtId="0" fontId="6" fillId="56" borderId="35" xfId="0" applyFont="1" applyFill="1" applyBorder="1" applyAlignment="1">
      <alignment horizontal="left" vertical="center"/>
    </xf>
    <xf numFmtId="9" fontId="6" fillId="56" borderId="165" xfId="3" applyFont="1" applyFill="1" applyBorder="1" applyAlignment="1">
      <alignment horizontal="left" vertical="center"/>
    </xf>
    <xf numFmtId="9" fontId="6" fillId="56" borderId="19" xfId="3" applyFont="1" applyFill="1" applyBorder="1" applyAlignment="1">
      <alignment horizontal="left" vertical="center"/>
    </xf>
    <xf numFmtId="9" fontId="6" fillId="56" borderId="84" xfId="3" applyFont="1" applyFill="1" applyBorder="1" applyAlignment="1">
      <alignment horizontal="left" vertical="center"/>
    </xf>
    <xf numFmtId="3" fontId="50" fillId="55" borderId="84" xfId="0" applyNumberFormat="1" applyFont="1" applyFill="1" applyBorder="1" applyAlignment="1">
      <alignment horizontal="center" vertical="center"/>
    </xf>
    <xf numFmtId="3" fontId="7" fillId="55" borderId="34" xfId="0" applyNumberFormat="1" applyFont="1" applyFill="1" applyBorder="1" applyAlignment="1">
      <alignment horizontal="center" vertical="center"/>
    </xf>
    <xf numFmtId="3" fontId="7" fillId="55" borderId="35" xfId="0" applyNumberFormat="1" applyFont="1" applyFill="1" applyBorder="1" applyAlignment="1">
      <alignment horizontal="center" vertical="center"/>
    </xf>
    <xf numFmtId="3" fontId="50" fillId="55" borderId="164" xfId="0" applyNumberFormat="1" applyFont="1" applyFill="1" applyBorder="1" applyAlignment="1">
      <alignment horizontal="center" vertical="center"/>
    </xf>
    <xf numFmtId="3" fontId="7" fillId="55" borderId="160" xfId="0" applyNumberFormat="1" applyFont="1" applyFill="1" applyBorder="1" applyAlignment="1">
      <alignment horizontal="center" vertical="center"/>
    </xf>
    <xf numFmtId="3" fontId="7" fillId="55" borderId="97" xfId="0" applyNumberFormat="1" applyFont="1" applyFill="1" applyBorder="1" applyAlignment="1">
      <alignment horizontal="center" vertical="center"/>
    </xf>
    <xf numFmtId="9" fontId="21" fillId="56" borderId="20" xfId="3" applyFont="1" applyFill="1" applyBorder="1" applyAlignment="1">
      <alignment horizontal="left" vertical="center"/>
    </xf>
    <xf numFmtId="172" fontId="152" fillId="56" borderId="161" xfId="0" applyNumberFormat="1" applyFont="1" applyFill="1" applyBorder="1" applyAlignment="1">
      <alignment horizontal="center" vertical="center"/>
    </xf>
    <xf numFmtId="172" fontId="152" fillId="56" borderId="158" xfId="0" applyNumberFormat="1" applyFont="1" applyFill="1" applyBorder="1" applyAlignment="1">
      <alignment horizontal="center" vertical="center"/>
    </xf>
    <xf numFmtId="172" fontId="152" fillId="56" borderId="38" xfId="0" applyNumberFormat="1" applyFont="1" applyFill="1" applyBorder="1" applyAlignment="1">
      <alignment horizontal="center" vertical="center"/>
    </xf>
    <xf numFmtId="172" fontId="152" fillId="56" borderId="157" xfId="0" applyNumberFormat="1" applyFont="1" applyFill="1" applyBorder="1" applyAlignment="1">
      <alignment horizontal="center" vertical="center"/>
    </xf>
    <xf numFmtId="169" fontId="10" fillId="0" borderId="0" xfId="0" applyNumberFormat="1" applyFont="1" applyAlignment="1">
      <alignment horizontal="right" vertical="center"/>
    </xf>
    <xf numFmtId="169" fontId="10" fillId="3" borderId="0" xfId="0" applyNumberFormat="1" applyFont="1" applyFill="1" applyAlignment="1">
      <alignment horizontal="right" vertical="center"/>
    </xf>
    <xf numFmtId="0" fontId="32" fillId="0" borderId="0" xfId="0" applyFont="1" applyAlignment="1">
      <alignment horizontal="left" vertical="center"/>
    </xf>
    <xf numFmtId="0" fontId="9" fillId="0" borderId="0" xfId="0" applyFont="1" applyAlignment="1">
      <alignment horizontal="left" vertical="center"/>
    </xf>
    <xf numFmtId="0" fontId="154" fillId="3" borderId="131" xfId="0" applyFont="1" applyFill="1" applyBorder="1" applyAlignment="1">
      <alignment horizontal="center" vertical="center"/>
    </xf>
    <xf numFmtId="0" fontId="10" fillId="0" borderId="127" xfId="0" applyFont="1" applyBorder="1" applyAlignment="1">
      <alignment horizontal="right" vertical="center"/>
    </xf>
    <xf numFmtId="0" fontId="50" fillId="56" borderId="22" xfId="0" applyFont="1" applyFill="1" applyBorder="1" applyAlignment="1">
      <alignment horizontal="center" vertical="center" wrapText="1"/>
    </xf>
    <xf numFmtId="0" fontId="7" fillId="3" borderId="131" xfId="0" applyFont="1" applyFill="1" applyBorder="1" applyAlignment="1">
      <alignment horizontal="center" vertical="center" wrapText="1"/>
    </xf>
    <xf numFmtId="3" fontId="7" fillId="54" borderId="93" xfId="0" applyNumberFormat="1" applyFont="1" applyFill="1" applyBorder="1" applyAlignment="1">
      <alignment horizontal="center" vertical="center" wrapText="1"/>
    </xf>
    <xf numFmtId="3" fontId="7" fillId="54" borderId="97" xfId="0" applyNumberFormat="1" applyFont="1" applyFill="1" applyBorder="1" applyAlignment="1">
      <alignment horizontal="center" vertical="center" wrapText="1"/>
    </xf>
    <xf numFmtId="0" fontId="6" fillId="54" borderId="6" xfId="0" applyFont="1" applyFill="1" applyBorder="1" applyAlignment="1">
      <alignment horizontal="left" vertical="center" wrapText="1"/>
    </xf>
    <xf numFmtId="0" fontId="6" fillId="54" borderId="107" xfId="0" applyFont="1" applyFill="1" applyBorder="1" applyAlignment="1">
      <alignment horizontal="left" vertical="center" wrapText="1"/>
    </xf>
    <xf numFmtId="173" fontId="6" fillId="0" borderId="28" xfId="1" applyNumberFormat="1" applyFont="1" applyFill="1" applyBorder="1" applyAlignment="1">
      <alignment horizontal="right" vertical="center" wrapText="1"/>
    </xf>
    <xf numFmtId="173" fontId="6" fillId="0" borderId="42" xfId="1" applyNumberFormat="1" applyFont="1" applyFill="1" applyBorder="1" applyAlignment="1">
      <alignment horizontal="right" vertical="center" wrapText="1"/>
    </xf>
    <xf numFmtId="3" fontId="6" fillId="0" borderId="28" xfId="1" applyNumberFormat="1" applyFont="1" applyFill="1" applyBorder="1" applyAlignment="1">
      <alignment horizontal="right" vertical="center" wrapText="1"/>
    </xf>
    <xf numFmtId="3" fontId="6" fillId="0" borderId="42" xfId="1" applyNumberFormat="1" applyFont="1" applyFill="1" applyBorder="1" applyAlignment="1">
      <alignment horizontal="right" vertical="center" wrapText="1"/>
    </xf>
    <xf numFmtId="173" fontId="6" fillId="3" borderId="131" xfId="1" applyNumberFormat="1" applyFont="1" applyFill="1" applyBorder="1" applyAlignment="1">
      <alignment horizontal="right" vertical="center" wrapText="1"/>
    </xf>
    <xf numFmtId="0" fontId="6" fillId="54" borderId="76" xfId="0" applyFont="1" applyFill="1" applyBorder="1" applyAlignment="1">
      <alignment horizontal="left" vertical="center" wrapText="1"/>
    </xf>
    <xf numFmtId="173" fontId="6" fillId="0" borderId="92" xfId="1" applyNumberFormat="1" applyFont="1" applyFill="1" applyBorder="1" applyAlignment="1">
      <alignment horizontal="right" vertical="center" wrapText="1"/>
    </xf>
    <xf numFmtId="174" fontId="6" fillId="0" borderId="1" xfId="0" applyNumberFormat="1" applyFont="1" applyBorder="1" applyAlignment="1">
      <alignment horizontal="right" vertical="center" wrapText="1"/>
    </xf>
    <xf numFmtId="174" fontId="6" fillId="0" borderId="3" xfId="0" applyNumberFormat="1" applyFont="1" applyBorder="1" applyAlignment="1">
      <alignment horizontal="right" vertical="center" wrapText="1"/>
    </xf>
    <xf numFmtId="174" fontId="6" fillId="0" borderId="1" xfId="1" applyNumberFormat="1" applyFont="1" applyFill="1" applyBorder="1" applyAlignment="1">
      <alignment horizontal="right" vertical="center" wrapText="1"/>
    </xf>
    <xf numFmtId="174" fontId="6" fillId="0" borderId="92" xfId="1" applyNumberFormat="1" applyFont="1" applyFill="1" applyBorder="1" applyAlignment="1">
      <alignment horizontal="right" vertical="center" wrapText="1"/>
    </xf>
    <xf numFmtId="3" fontId="6" fillId="0" borderId="92" xfId="1" applyNumberFormat="1" applyFont="1" applyFill="1" applyBorder="1" applyAlignment="1">
      <alignment horizontal="right" vertical="center" wrapText="1"/>
    </xf>
    <xf numFmtId="0" fontId="6" fillId="54" borderId="11" xfId="0" applyFont="1" applyFill="1" applyBorder="1" applyAlignment="1">
      <alignment horizontal="left" vertical="center" wrapText="1"/>
    </xf>
    <xf numFmtId="0" fontId="6" fillId="54" borderId="106" xfId="0" applyFont="1" applyFill="1" applyBorder="1" applyAlignment="1">
      <alignment horizontal="left" vertical="center" wrapText="1"/>
    </xf>
    <xf numFmtId="3" fontId="6" fillId="0" borderId="11" xfId="0" applyNumberFormat="1" applyFont="1" applyBorder="1" applyAlignment="1">
      <alignment horizontal="right" vertical="center" wrapText="1"/>
    </xf>
    <xf numFmtId="3" fontId="6" fillId="0" borderId="2" xfId="1" applyNumberFormat="1" applyFont="1" applyFill="1" applyBorder="1" applyAlignment="1">
      <alignment horizontal="right" vertical="center" wrapText="1"/>
    </xf>
    <xf numFmtId="3" fontId="6" fillId="0" borderId="42" xfId="0" applyNumberFormat="1" applyFont="1" applyBorder="1" applyAlignment="1">
      <alignment horizontal="right" vertical="center" wrapText="1"/>
    </xf>
    <xf numFmtId="184" fontId="6" fillId="0" borderId="28" xfId="1" applyNumberFormat="1" applyFont="1" applyBorder="1" applyAlignment="1">
      <alignment horizontal="right" vertical="center" wrapText="1"/>
    </xf>
    <xf numFmtId="3" fontId="6" fillId="0" borderId="35" xfId="0" applyNumberFormat="1" applyFont="1" applyBorder="1" applyAlignment="1">
      <alignment horizontal="right" vertical="center" wrapText="1"/>
    </xf>
    <xf numFmtId="3" fontId="6" fillId="0" borderId="97" xfId="0" applyNumberFormat="1" applyFont="1" applyBorder="1" applyAlignment="1">
      <alignment horizontal="right" vertical="center" wrapText="1"/>
    </xf>
    <xf numFmtId="0" fontId="48" fillId="0" borderId="127" xfId="0" applyFont="1" applyBorder="1" applyAlignment="1">
      <alignment horizontal="right" vertical="center"/>
    </xf>
    <xf numFmtId="3" fontId="21" fillId="54" borderId="93" xfId="0" applyNumberFormat="1" applyFont="1" applyFill="1" applyBorder="1" applyAlignment="1">
      <alignment horizontal="right" vertical="center" wrapText="1"/>
    </xf>
    <xf numFmtId="3" fontId="21" fillId="54" borderId="160" xfId="0" applyNumberFormat="1" applyFont="1" applyFill="1" applyBorder="1" applyAlignment="1">
      <alignment horizontal="right" vertical="center" wrapText="1"/>
    </xf>
    <xf numFmtId="3" fontId="21" fillId="54" borderId="97" xfId="1" applyNumberFormat="1" applyFont="1" applyFill="1" applyBorder="1" applyAlignment="1">
      <alignment horizontal="right" vertical="center"/>
    </xf>
    <xf numFmtId="3" fontId="7" fillId="3" borderId="131" xfId="0" applyNumberFormat="1" applyFont="1" applyFill="1" applyBorder="1" applyAlignment="1">
      <alignment horizontal="right" vertical="center" wrapText="1"/>
    </xf>
    <xf numFmtId="173" fontId="21" fillId="54" borderId="97" xfId="1" applyNumberFormat="1" applyFont="1" applyFill="1" applyBorder="1" applyAlignment="1">
      <alignment horizontal="right" vertical="center"/>
    </xf>
    <xf numFmtId="3" fontId="6" fillId="0" borderId="85" xfId="0" applyNumberFormat="1" applyFont="1" applyBorder="1" applyAlignment="1">
      <alignment horizontal="right" vertical="center" wrapText="1"/>
    </xf>
    <xf numFmtId="173" fontId="6" fillId="0" borderId="34" xfId="1" applyNumberFormat="1" applyFont="1" applyFill="1" applyBorder="1" applyAlignment="1">
      <alignment horizontal="right" vertical="center" wrapText="1"/>
    </xf>
    <xf numFmtId="173" fontId="6" fillId="0" borderId="35" xfId="1" applyNumberFormat="1" applyFont="1" applyFill="1" applyBorder="1" applyAlignment="1">
      <alignment horizontal="right" vertical="center" wrapText="1"/>
    </xf>
    <xf numFmtId="3" fontId="6" fillId="0" borderId="34" xfId="1" applyNumberFormat="1" applyFont="1" applyFill="1" applyBorder="1" applyAlignment="1">
      <alignment horizontal="right" vertical="center" wrapText="1"/>
    </xf>
    <xf numFmtId="3" fontId="6" fillId="0" borderId="35" xfId="1" applyNumberFormat="1" applyFont="1" applyFill="1" applyBorder="1" applyAlignment="1">
      <alignment horizontal="right" vertical="center" wrapText="1"/>
    </xf>
    <xf numFmtId="3" fontId="21" fillId="54" borderId="125" xfId="0" applyNumberFormat="1" applyFont="1" applyFill="1" applyBorder="1" applyAlignment="1">
      <alignment horizontal="right" vertical="center" wrapText="1"/>
    </xf>
    <xf numFmtId="3" fontId="21" fillId="54" borderId="158" xfId="0" applyNumberFormat="1" applyFont="1" applyFill="1" applyBorder="1" applyAlignment="1">
      <alignment horizontal="right" vertical="center" wrapText="1"/>
    </xf>
    <xf numFmtId="3" fontId="21" fillId="54" borderId="97" xfId="0" applyNumberFormat="1" applyFont="1" applyFill="1" applyBorder="1" applyAlignment="1">
      <alignment horizontal="right" vertical="center" wrapText="1"/>
    </xf>
    <xf numFmtId="9" fontId="6" fillId="0" borderId="93" xfId="3" applyFont="1" applyFill="1" applyBorder="1" applyAlignment="1">
      <alignment horizontal="right" vertical="center" wrapText="1"/>
    </xf>
    <xf numFmtId="9" fontId="6" fillId="0" borderId="97" xfId="3" applyFont="1" applyFill="1" applyBorder="1" applyAlignment="1">
      <alignment horizontal="right" vertical="center" wrapText="1"/>
    </xf>
    <xf numFmtId="3" fontId="6" fillId="0" borderId="93" xfId="3" applyNumberFormat="1" applyFont="1" applyFill="1" applyBorder="1" applyAlignment="1">
      <alignment horizontal="right" vertical="center" wrapText="1"/>
    </xf>
    <xf numFmtId="3" fontId="6" fillId="0" borderId="97" xfId="3" applyNumberFormat="1" applyFont="1" applyFill="1" applyBorder="1" applyAlignment="1">
      <alignment horizontal="right" vertical="center" wrapText="1"/>
    </xf>
    <xf numFmtId="9" fontId="7" fillId="3" borderId="131" xfId="3" applyFont="1" applyFill="1" applyBorder="1" applyAlignment="1">
      <alignment horizontal="right" vertical="center" wrapText="1"/>
    </xf>
    <xf numFmtId="3" fontId="21" fillId="55" borderId="30" xfId="0" applyNumberFormat="1" applyFont="1" applyFill="1" applyBorder="1" applyAlignment="1">
      <alignment horizontal="right" vertical="center" wrapText="1"/>
    </xf>
    <xf numFmtId="3" fontId="21" fillId="55" borderId="29" xfId="0" applyNumberFormat="1" applyFont="1" applyFill="1" applyBorder="1" applyAlignment="1">
      <alignment horizontal="right" vertical="center" wrapText="1"/>
    </xf>
    <xf numFmtId="173" fontId="21" fillId="55" borderId="29" xfId="1" applyNumberFormat="1" applyFont="1" applyFill="1" applyBorder="1" applyAlignment="1">
      <alignment horizontal="right" vertical="center"/>
    </xf>
    <xf numFmtId="173" fontId="21" fillId="55" borderId="99" xfId="1" applyNumberFormat="1" applyFont="1" applyFill="1" applyBorder="1" applyAlignment="1">
      <alignment horizontal="right" vertical="center"/>
    </xf>
    <xf numFmtId="3" fontId="21" fillId="55" borderId="29" xfId="1" applyNumberFormat="1" applyFont="1" applyFill="1" applyBorder="1" applyAlignment="1">
      <alignment horizontal="right" vertical="center"/>
    </xf>
    <xf numFmtId="3" fontId="21" fillId="55" borderId="99" xfId="1" applyNumberFormat="1" applyFont="1" applyFill="1" applyBorder="1" applyAlignment="1">
      <alignment horizontal="right" vertical="center"/>
    </xf>
    <xf numFmtId="173" fontId="7" fillId="3" borderId="131" xfId="1" applyNumberFormat="1" applyFont="1" applyFill="1" applyBorder="1" applyAlignment="1">
      <alignment horizontal="right" vertical="center"/>
    </xf>
    <xf numFmtId="173" fontId="6" fillId="0" borderId="18" xfId="1" applyNumberFormat="1" applyFont="1" applyFill="1" applyBorder="1" applyAlignment="1">
      <alignment horizontal="right" vertical="center" wrapText="1"/>
    </xf>
    <xf numFmtId="3" fontId="6" fillId="0" borderId="5" xfId="1" applyNumberFormat="1" applyFont="1" applyFill="1" applyBorder="1" applyAlignment="1">
      <alignment horizontal="right" vertical="center" wrapText="1"/>
    </xf>
    <xf numFmtId="3" fontId="6" fillId="0" borderId="40" xfId="1" applyNumberFormat="1" applyFont="1" applyFill="1" applyBorder="1" applyAlignment="1">
      <alignment horizontal="right" vertical="center" wrapText="1"/>
    </xf>
    <xf numFmtId="173" fontId="6" fillId="3" borderId="155" xfId="1" applyNumberFormat="1" applyFont="1" applyFill="1" applyBorder="1" applyAlignment="1">
      <alignment horizontal="right" vertical="center" wrapText="1"/>
    </xf>
    <xf numFmtId="173" fontId="6" fillId="0" borderId="15" xfId="1" applyNumberFormat="1" applyFont="1" applyFill="1" applyBorder="1" applyAlignment="1">
      <alignment horizontal="right" vertical="center" wrapText="1"/>
    </xf>
    <xf numFmtId="173" fontId="6" fillId="0" borderId="5" xfId="1" applyNumberFormat="1" applyFont="1" applyFill="1" applyBorder="1" applyAlignment="1">
      <alignment horizontal="right" vertical="center" wrapText="1"/>
    </xf>
    <xf numFmtId="173" fontId="6" fillId="0" borderId="40" xfId="1" applyNumberFormat="1" applyFont="1" applyFill="1" applyBorder="1" applyAlignment="1">
      <alignment horizontal="right" vertical="center" wrapText="1"/>
    </xf>
    <xf numFmtId="3" fontId="6" fillId="0" borderId="15" xfId="1" applyNumberFormat="1" applyFont="1" applyFill="1" applyBorder="1" applyAlignment="1">
      <alignment horizontal="right" vertical="center" wrapText="1"/>
    </xf>
    <xf numFmtId="173" fontId="6" fillId="0" borderId="101" xfId="1" applyNumberFormat="1" applyFont="1" applyFill="1" applyBorder="1" applyAlignment="1">
      <alignment horizontal="right" vertical="center" wrapText="1"/>
    </xf>
    <xf numFmtId="173" fontId="6" fillId="0" borderId="43" xfId="1" applyNumberFormat="1" applyFont="1" applyFill="1" applyBorder="1" applyAlignment="1">
      <alignment horizontal="right" vertical="center" wrapText="1"/>
    </xf>
    <xf numFmtId="173" fontId="6" fillId="0" borderId="160" xfId="1" applyNumberFormat="1" applyFont="1" applyFill="1" applyBorder="1" applyAlignment="1">
      <alignment horizontal="right" vertical="center" wrapText="1"/>
    </xf>
    <xf numFmtId="173" fontId="6" fillId="0" borderId="97" xfId="1" applyNumberFormat="1" applyFont="1" applyFill="1" applyBorder="1" applyAlignment="1">
      <alignment horizontal="right" vertical="center" wrapText="1"/>
    </xf>
    <xf numFmtId="3" fontId="6" fillId="0" borderId="43" xfId="1" applyNumberFormat="1" applyFont="1" applyFill="1" applyBorder="1" applyAlignment="1">
      <alignment horizontal="right" vertical="center" wrapText="1"/>
    </xf>
    <xf numFmtId="3" fontId="6" fillId="0" borderId="160" xfId="1" applyNumberFormat="1" applyFont="1" applyFill="1" applyBorder="1" applyAlignment="1">
      <alignment horizontal="right" vertical="center" wrapText="1"/>
    </xf>
    <xf numFmtId="3" fontId="6" fillId="0" borderId="93" xfId="1" applyNumberFormat="1" applyFont="1" applyFill="1" applyBorder="1" applyAlignment="1">
      <alignment horizontal="right" vertical="center" wrapText="1"/>
    </xf>
    <xf numFmtId="3" fontId="6" fillId="0" borderId="97" xfId="1" applyNumberFormat="1" applyFont="1" applyFill="1" applyBorder="1" applyAlignment="1">
      <alignment horizontal="right" vertical="center" wrapText="1"/>
    </xf>
    <xf numFmtId="173" fontId="6" fillId="0" borderId="93" xfId="1" applyNumberFormat="1" applyFont="1" applyFill="1" applyBorder="1" applyAlignment="1">
      <alignment horizontal="right" vertical="center" wrapText="1"/>
    </xf>
    <xf numFmtId="3" fontId="7" fillId="54" borderId="157" xfId="0" applyNumberFormat="1" applyFont="1" applyFill="1" applyBorder="1" applyAlignment="1">
      <alignment horizontal="right" vertical="center" wrapText="1"/>
    </xf>
    <xf numFmtId="173" fontId="26" fillId="0" borderId="42" xfId="1" applyNumberFormat="1" applyFont="1" applyFill="1" applyBorder="1" applyAlignment="1">
      <alignment horizontal="right" vertical="center" wrapText="1"/>
    </xf>
    <xf numFmtId="3" fontId="26" fillId="0" borderId="6" xfId="1" applyNumberFormat="1" applyFont="1" applyFill="1" applyBorder="1" applyAlignment="1">
      <alignment horizontal="right" vertical="center" wrapText="1"/>
    </xf>
    <xf numFmtId="3" fontId="26" fillId="0" borderId="28" xfId="1" applyNumberFormat="1" applyFont="1" applyFill="1" applyBorder="1" applyAlignment="1">
      <alignment horizontal="right" vertical="center" wrapText="1"/>
    </xf>
    <xf numFmtId="3" fontId="26" fillId="0" borderId="42" xfId="1" applyNumberFormat="1" applyFont="1" applyFill="1" applyBorder="1" applyAlignment="1">
      <alignment horizontal="right" vertical="center" wrapText="1"/>
    </xf>
    <xf numFmtId="173" fontId="26" fillId="3" borderId="131" xfId="1" applyNumberFormat="1" applyFont="1" applyFill="1" applyBorder="1" applyAlignment="1">
      <alignment horizontal="right" vertical="center" wrapText="1"/>
    </xf>
    <xf numFmtId="0" fontId="6" fillId="54" borderId="83" xfId="0" applyFont="1" applyFill="1" applyBorder="1" applyAlignment="1">
      <alignment horizontal="left" vertical="center" wrapText="1"/>
    </xf>
    <xf numFmtId="173" fontId="26" fillId="0" borderId="94" xfId="1" applyNumberFormat="1" applyFont="1" applyFill="1" applyBorder="1" applyAlignment="1">
      <alignment horizontal="right" vertical="center" wrapText="1"/>
    </xf>
    <xf numFmtId="3" fontId="26" fillId="0" borderId="3" xfId="1" applyNumberFormat="1" applyFont="1" applyFill="1" applyBorder="1" applyAlignment="1">
      <alignment horizontal="right" vertical="center" wrapText="1"/>
    </xf>
    <xf numFmtId="3" fontId="26" fillId="0" borderId="1" xfId="1" applyNumberFormat="1" applyFont="1" applyFill="1" applyBorder="1" applyAlignment="1">
      <alignment horizontal="right" vertical="center" wrapText="1"/>
    </xf>
    <xf numFmtId="3" fontId="26" fillId="0" borderId="94" xfId="1" applyNumberFormat="1" applyFont="1" applyFill="1" applyBorder="1" applyAlignment="1">
      <alignment horizontal="right" vertical="center" wrapText="1"/>
    </xf>
    <xf numFmtId="173" fontId="26" fillId="0" borderId="92" xfId="1" applyNumberFormat="1" applyFont="1" applyFill="1" applyBorder="1" applyAlignment="1">
      <alignment horizontal="right" vertical="center" wrapText="1"/>
    </xf>
    <xf numFmtId="173" fontId="26" fillId="0" borderId="2" xfId="1" applyNumberFormat="1" applyFont="1" applyFill="1" applyBorder="1" applyAlignment="1">
      <alignment horizontal="right" vertical="center" wrapText="1"/>
    </xf>
    <xf numFmtId="3" fontId="26" fillId="0" borderId="2" xfId="1" applyNumberFormat="1" applyFont="1" applyFill="1" applyBorder="1" applyAlignment="1">
      <alignment horizontal="right" vertical="center" wrapText="1"/>
    </xf>
    <xf numFmtId="3" fontId="26" fillId="0" borderId="92" xfId="1" applyNumberFormat="1" applyFont="1" applyFill="1" applyBorder="1" applyAlignment="1">
      <alignment horizontal="right" vertical="center" wrapText="1"/>
    </xf>
    <xf numFmtId="3" fontId="6" fillId="0" borderId="3" xfId="1" applyNumberFormat="1" applyFont="1" applyFill="1" applyBorder="1" applyAlignment="1">
      <alignment horizontal="right" vertical="center" wrapText="1"/>
    </xf>
    <xf numFmtId="3" fontId="6" fillId="0" borderId="92" xfId="0" applyNumberFormat="1" applyFont="1" applyBorder="1" applyAlignment="1">
      <alignment horizontal="right" vertical="center" wrapText="1"/>
    </xf>
    <xf numFmtId="173" fontId="6" fillId="0" borderId="0" xfId="1" applyNumberFormat="1" applyFont="1" applyFill="1" applyBorder="1" applyAlignment="1">
      <alignment horizontal="right" vertical="center" wrapText="1"/>
    </xf>
    <xf numFmtId="3" fontId="21" fillId="54" borderId="159" xfId="0" applyNumberFormat="1" applyFont="1" applyFill="1" applyBorder="1" applyAlignment="1">
      <alignment horizontal="right" vertical="center" wrapText="1"/>
    </xf>
    <xf numFmtId="3" fontId="21" fillId="54" borderId="157" xfId="0" applyNumberFormat="1" applyFont="1" applyFill="1" applyBorder="1" applyAlignment="1">
      <alignment horizontal="right" vertical="center" wrapText="1"/>
    </xf>
    <xf numFmtId="3" fontId="21" fillId="54" borderId="161" xfId="0" applyNumberFormat="1" applyFont="1" applyFill="1" applyBorder="1" applyAlignment="1">
      <alignment horizontal="right" vertical="center" wrapText="1"/>
    </xf>
    <xf numFmtId="3" fontId="7" fillId="54" borderId="38" xfId="0" applyNumberFormat="1" applyFont="1" applyFill="1" applyBorder="1" applyAlignment="1">
      <alignment horizontal="right" vertical="center" wrapText="1"/>
    </xf>
    <xf numFmtId="3" fontId="6" fillId="0" borderId="0" xfId="0" applyNumberFormat="1" applyFont="1" applyAlignment="1">
      <alignment horizontal="right" vertical="center" wrapText="1"/>
    </xf>
    <xf numFmtId="3" fontId="6" fillId="3" borderId="131" xfId="0" applyNumberFormat="1" applyFont="1" applyFill="1" applyBorder="1" applyAlignment="1">
      <alignment horizontal="right" vertical="center" wrapText="1"/>
    </xf>
    <xf numFmtId="173" fontId="6" fillId="61" borderId="104" xfId="1" applyNumberFormat="1" applyFont="1" applyFill="1" applyBorder="1" applyAlignment="1">
      <alignment horizontal="right" vertical="center" wrapText="1"/>
    </xf>
    <xf numFmtId="3" fontId="21" fillId="55" borderId="158" xfId="0" applyNumberFormat="1" applyFont="1" applyFill="1" applyBorder="1" applyAlignment="1">
      <alignment horizontal="right" vertical="center" wrapText="1"/>
    </xf>
    <xf numFmtId="0" fontId="10" fillId="3" borderId="127" xfId="0" applyFont="1" applyFill="1" applyBorder="1" applyAlignment="1">
      <alignment horizontal="right" vertical="center"/>
    </xf>
    <xf numFmtId="3" fontId="6" fillId="3" borderId="99" xfId="0" applyNumberFormat="1" applyFont="1" applyFill="1" applyBorder="1" applyAlignment="1">
      <alignment horizontal="right" vertical="center" wrapText="1"/>
    </xf>
    <xf numFmtId="169" fontId="6" fillId="0" borderId="92" xfId="1" applyFont="1" applyFill="1" applyBorder="1" applyAlignment="1">
      <alignment horizontal="right" vertical="center" wrapText="1"/>
    </xf>
    <xf numFmtId="174" fontId="6" fillId="0" borderId="3" xfId="1" applyNumberFormat="1" applyFont="1" applyFill="1" applyBorder="1" applyAlignment="1">
      <alignment horizontal="right" vertical="center" wrapText="1"/>
    </xf>
    <xf numFmtId="169" fontId="6" fillId="3" borderId="131" xfId="1" applyFont="1" applyFill="1" applyBorder="1" applyAlignment="1">
      <alignment horizontal="right" vertical="center" wrapText="1"/>
    </xf>
    <xf numFmtId="0" fontId="10" fillId="0" borderId="70" xfId="0" applyFont="1" applyBorder="1" applyAlignment="1">
      <alignment horizontal="left" vertical="center"/>
    </xf>
    <xf numFmtId="3" fontId="10" fillId="0" borderId="0" xfId="0" applyNumberFormat="1" applyFont="1" applyAlignment="1">
      <alignment horizontal="right" vertical="center"/>
    </xf>
    <xf numFmtId="172" fontId="6" fillId="0" borderId="93" xfId="3" applyNumberFormat="1" applyFont="1" applyFill="1" applyBorder="1" applyAlignment="1">
      <alignment horizontal="right" vertical="center" wrapText="1"/>
    </xf>
    <xf numFmtId="0" fontId="56" fillId="55" borderId="39" xfId="9" applyFont="1" applyFill="1" applyBorder="1" applyAlignment="1">
      <alignment horizontal="center" vertical="top"/>
    </xf>
    <xf numFmtId="0" fontId="18" fillId="56" borderId="39" xfId="0" applyFont="1" applyFill="1" applyBorder="1" applyAlignment="1">
      <alignment horizontal="center" vertical="center"/>
    </xf>
    <xf numFmtId="3" fontId="21" fillId="54" borderId="38" xfId="0" applyNumberFormat="1" applyFont="1" applyFill="1" applyBorder="1" applyAlignment="1">
      <alignment horizontal="right" vertical="center" wrapText="1"/>
    </xf>
    <xf numFmtId="0" fontId="7" fillId="54" borderId="125" xfId="0" applyFont="1" applyFill="1" applyBorder="1" applyAlignment="1">
      <alignment horizontal="center" vertical="center" wrapText="1"/>
    </xf>
    <xf numFmtId="3" fontId="6" fillId="0" borderId="159" xfId="0" applyNumberFormat="1" applyFont="1" applyBorder="1" applyAlignment="1">
      <alignment horizontal="right" vertical="center" wrapText="1"/>
    </xf>
    <xf numFmtId="49" fontId="7" fillId="54" borderId="125" xfId="0" applyNumberFormat="1" applyFont="1" applyFill="1" applyBorder="1" applyAlignment="1">
      <alignment horizontal="center" vertical="center" wrapText="1"/>
    </xf>
    <xf numFmtId="3" fontId="6" fillId="0" borderId="158" xfId="0" applyNumberFormat="1" applyFont="1" applyBorder="1" applyAlignment="1">
      <alignment horizontal="right" vertical="center" wrapText="1"/>
    </xf>
    <xf numFmtId="3" fontId="6" fillId="0" borderId="157" xfId="0" applyNumberFormat="1" applyFont="1" applyBorder="1" applyAlignment="1">
      <alignment horizontal="right" vertical="center" wrapText="1"/>
    </xf>
    <xf numFmtId="3" fontId="6" fillId="0" borderId="8" xfId="0" applyNumberFormat="1" applyFont="1" applyBorder="1" applyAlignment="1">
      <alignment horizontal="right" vertical="center" wrapText="1"/>
    </xf>
    <xf numFmtId="3" fontId="21" fillId="54" borderId="28" xfId="0" applyNumberFormat="1" applyFont="1" applyFill="1" applyBorder="1" applyAlignment="1">
      <alignment horizontal="right" vertical="center" wrapText="1"/>
    </xf>
    <xf numFmtId="3" fontId="6" fillId="0" borderId="158" xfId="3" applyNumberFormat="1" applyFont="1" applyFill="1" applyBorder="1" applyAlignment="1">
      <alignment horizontal="right" vertical="center" wrapText="1"/>
    </xf>
    <xf numFmtId="49" fontId="7" fillId="54" borderId="164" xfId="0" applyNumberFormat="1" applyFont="1" applyFill="1" applyBorder="1" applyAlignment="1">
      <alignment horizontal="center" vertical="center" wrapText="1"/>
    </xf>
    <xf numFmtId="0" fontId="6" fillId="0" borderId="157" xfId="0" applyFont="1" applyBorder="1" applyAlignment="1">
      <alignment horizontal="right" vertical="center" wrapText="1"/>
    </xf>
    <xf numFmtId="3" fontId="21" fillId="54" borderId="43" xfId="0" applyNumberFormat="1" applyFont="1" applyFill="1" applyBorder="1" applyAlignment="1">
      <alignment horizontal="right" vertical="center" wrapText="1"/>
    </xf>
    <xf numFmtId="0" fontId="7" fillId="55" borderId="77" xfId="0" applyFont="1" applyFill="1" applyBorder="1" applyAlignment="1">
      <alignment horizontal="center" vertical="center" wrapText="1"/>
    </xf>
    <xf numFmtId="3" fontId="6" fillId="3" borderId="55" xfId="0" applyNumberFormat="1" applyFont="1" applyFill="1" applyBorder="1" applyAlignment="1">
      <alignment horizontal="center" vertical="center" wrapText="1"/>
    </xf>
    <xf numFmtId="177" fontId="56" fillId="55" borderId="160" xfId="9" applyNumberFormat="1" applyFont="1" applyFill="1" applyBorder="1" applyAlignment="1">
      <alignment horizontal="center" vertical="top"/>
    </xf>
    <xf numFmtId="177" fontId="56" fillId="55" borderId="93" xfId="9" applyNumberFormat="1" applyFont="1" applyFill="1" applyBorder="1" applyAlignment="1">
      <alignment horizontal="center" vertical="top"/>
    </xf>
    <xf numFmtId="0" fontId="53" fillId="0" borderId="38" xfId="9" applyFont="1" applyBorder="1" applyAlignment="1">
      <alignment horizontal="center"/>
    </xf>
    <xf numFmtId="0" fontId="53" fillId="0" borderId="31" xfId="9" applyFont="1" applyBorder="1" applyAlignment="1">
      <alignment horizontal="center" vertical="top"/>
    </xf>
    <xf numFmtId="0" fontId="52" fillId="0" borderId="41" xfId="9" applyBorder="1" applyAlignment="1">
      <alignment horizontal="center"/>
    </xf>
    <xf numFmtId="177" fontId="56" fillId="55" borderId="161" xfId="9" applyNumberFormat="1" applyFont="1" applyFill="1" applyBorder="1" applyAlignment="1">
      <alignment horizontal="center" vertical="top"/>
    </xf>
    <xf numFmtId="0" fontId="56" fillId="55" borderId="274" xfId="9" applyFont="1" applyFill="1" applyBorder="1" applyAlignment="1">
      <alignment horizontal="center" vertical="top"/>
    </xf>
    <xf numFmtId="172" fontId="53" fillId="54" borderId="295" xfId="3" applyNumberFormat="1" applyFont="1" applyFill="1" applyBorder="1" applyAlignment="1">
      <alignment horizontal="center" vertical="top"/>
    </xf>
    <xf numFmtId="0" fontId="56" fillId="55" borderId="161" xfId="9" applyFont="1" applyFill="1" applyBorder="1" applyAlignment="1">
      <alignment horizontal="center" vertical="top"/>
    </xf>
    <xf numFmtId="172" fontId="53" fillId="54" borderId="83" xfId="3" applyNumberFormat="1" applyFont="1" applyFill="1" applyBorder="1" applyAlignment="1">
      <alignment horizontal="center" vertical="top"/>
    </xf>
    <xf numFmtId="172" fontId="53" fillId="54" borderId="10" xfId="3" applyNumberFormat="1" applyFont="1" applyFill="1" applyBorder="1" applyAlignment="1">
      <alignment horizontal="center" vertical="top"/>
    </xf>
    <xf numFmtId="172" fontId="53" fillId="54" borderId="252" xfId="3" applyNumberFormat="1" applyFont="1" applyFill="1" applyBorder="1" applyAlignment="1">
      <alignment horizontal="center" vertical="top"/>
    </xf>
    <xf numFmtId="172" fontId="53" fillId="54" borderId="88" xfId="3" applyNumberFormat="1" applyFont="1" applyFill="1" applyBorder="1" applyAlignment="1">
      <alignment horizontal="center" vertical="top"/>
    </xf>
    <xf numFmtId="3" fontId="53" fillId="54" borderId="164" xfId="9" applyNumberFormat="1" applyFont="1" applyFill="1" applyBorder="1" applyAlignment="1">
      <alignment horizontal="center" vertical="top"/>
    </xf>
    <xf numFmtId="0" fontId="50" fillId="55" borderId="274" xfId="9" applyFont="1" applyFill="1" applyBorder="1" applyAlignment="1">
      <alignment horizontal="center" vertical="top"/>
    </xf>
    <xf numFmtId="172" fontId="56" fillId="55" borderId="274" xfId="9" applyNumberFormat="1" applyFont="1" applyFill="1" applyBorder="1" applyAlignment="1">
      <alignment horizontal="center" vertical="top"/>
    </xf>
    <xf numFmtId="172" fontId="53" fillId="54" borderId="85" xfId="3" applyNumberFormat="1" applyFont="1" applyFill="1" applyBorder="1" applyAlignment="1">
      <alignment horizontal="center" vertical="top"/>
    </xf>
    <xf numFmtId="172" fontId="53" fillId="0" borderId="0" xfId="9" applyNumberFormat="1" applyFont="1" applyAlignment="1">
      <alignment horizontal="center" vertical="top"/>
    </xf>
    <xf numFmtId="0" fontId="136" fillId="0" borderId="43" xfId="0" applyFont="1" applyBorder="1" applyAlignment="1">
      <alignment horizontal="left" vertical="center" wrapText="1"/>
    </xf>
    <xf numFmtId="0" fontId="59" fillId="0" borderId="43" xfId="0" applyFont="1" applyBorder="1" applyAlignment="1">
      <alignment horizontal="center" vertical="center"/>
    </xf>
    <xf numFmtId="3" fontId="26" fillId="9" borderId="55" xfId="0" applyNumberFormat="1" applyFont="1" applyFill="1" applyBorder="1" applyAlignment="1">
      <alignment horizontal="center" vertical="center" wrapText="1"/>
    </xf>
    <xf numFmtId="3" fontId="26" fillId="9" borderId="74" xfId="0" applyNumberFormat="1" applyFont="1" applyFill="1" applyBorder="1" applyAlignment="1">
      <alignment horizontal="center" vertical="center" wrapText="1"/>
    </xf>
    <xf numFmtId="3" fontId="26" fillId="9" borderId="1" xfId="0" applyNumberFormat="1" applyFont="1" applyFill="1" applyBorder="1" applyAlignment="1">
      <alignment horizontal="center" vertical="center" wrapText="1"/>
    </xf>
    <xf numFmtId="3" fontId="26" fillId="9" borderId="3" xfId="0" applyNumberFormat="1" applyFont="1" applyFill="1" applyBorder="1" applyAlignment="1">
      <alignment horizontal="center" vertical="center" wrapText="1"/>
    </xf>
    <xf numFmtId="3" fontId="26" fillId="9" borderId="28" xfId="0" applyNumberFormat="1" applyFont="1" applyFill="1" applyBorder="1" applyAlignment="1">
      <alignment horizontal="center" vertical="center" wrapText="1"/>
    </xf>
    <xf numFmtId="3" fontId="26" fillId="9" borderId="6" xfId="0" applyNumberFormat="1" applyFont="1" applyFill="1" applyBorder="1" applyAlignment="1">
      <alignment horizontal="center" vertical="center" wrapText="1"/>
    </xf>
    <xf numFmtId="0" fontId="26" fillId="9" borderId="29" xfId="0" applyFont="1" applyFill="1" applyBorder="1" applyAlignment="1">
      <alignment horizontal="center" vertical="center" wrapText="1"/>
    </xf>
    <xf numFmtId="0" fontId="26" fillId="9" borderId="30" xfId="0" applyFont="1" applyFill="1" applyBorder="1" applyAlignment="1">
      <alignment horizontal="center" vertical="center" wrapText="1"/>
    </xf>
    <xf numFmtId="0" fontId="26" fillId="9" borderId="28" xfId="0" applyFont="1" applyFill="1" applyBorder="1" applyAlignment="1">
      <alignment horizontal="center" vertical="center" wrapText="1"/>
    </xf>
    <xf numFmtId="0" fontId="26" fillId="9" borderId="53" xfId="0" applyFont="1" applyFill="1" applyBorder="1" applyAlignment="1">
      <alignment horizontal="center" vertical="center" wrapText="1"/>
    </xf>
    <xf numFmtId="0" fontId="26" fillId="9" borderId="112" xfId="0" applyFont="1" applyFill="1" applyBorder="1" applyAlignment="1">
      <alignment horizontal="center" vertical="center" wrapText="1"/>
    </xf>
    <xf numFmtId="0" fontId="26" fillId="9" borderId="167" xfId="0" applyFont="1" applyFill="1" applyBorder="1" applyAlignment="1">
      <alignment horizontal="center" vertical="center" wrapText="1"/>
    </xf>
    <xf numFmtId="0" fontId="18" fillId="55" borderId="159" xfId="0" applyFont="1" applyFill="1" applyBorder="1" applyAlignment="1">
      <alignment horizontal="center" vertical="center"/>
    </xf>
    <xf numFmtId="176" fontId="6" fillId="3" borderId="6" xfId="1" applyNumberFormat="1" applyFont="1" applyFill="1" applyBorder="1" applyAlignment="1">
      <alignment horizontal="center" vertical="center"/>
    </xf>
    <xf numFmtId="176" fontId="6" fillId="3" borderId="3" xfId="1" applyNumberFormat="1" applyFont="1" applyFill="1" applyBorder="1" applyAlignment="1">
      <alignment horizontal="center" vertical="center"/>
    </xf>
    <xf numFmtId="172" fontId="144" fillId="3" borderId="3" xfId="3" applyNumberFormat="1" applyFont="1" applyFill="1" applyBorder="1" applyAlignment="1">
      <alignment horizontal="center" vertical="center"/>
    </xf>
    <xf numFmtId="172" fontId="144" fillId="3" borderId="37" xfId="3" applyNumberFormat="1" applyFont="1" applyFill="1" applyBorder="1" applyAlignment="1">
      <alignment horizontal="center" vertical="center"/>
    </xf>
    <xf numFmtId="178" fontId="144" fillId="54" borderId="6" xfId="0" applyNumberFormat="1" applyFont="1" applyFill="1" applyBorder="1" applyAlignment="1">
      <alignment horizontal="center" vertical="center"/>
    </xf>
    <xf numFmtId="172" fontId="144" fillId="54" borderId="3" xfId="3" applyNumberFormat="1" applyFont="1" applyFill="1" applyBorder="1" applyAlignment="1">
      <alignment horizontal="center" vertical="center"/>
    </xf>
    <xf numFmtId="3" fontId="144" fillId="54" borderId="3" xfId="0" applyNumberFormat="1" applyFont="1" applyFill="1" applyBorder="1" applyAlignment="1">
      <alignment horizontal="center" vertical="center"/>
    </xf>
    <xf numFmtId="172" fontId="144" fillId="54" borderId="37" xfId="0" applyNumberFormat="1" applyFont="1" applyFill="1" applyBorder="1" applyAlignment="1">
      <alignment horizontal="center" vertical="center"/>
    </xf>
    <xf numFmtId="0" fontId="6" fillId="54" borderId="40" xfId="0" applyFont="1" applyFill="1" applyBorder="1" applyAlignment="1">
      <alignment horizontal="left" vertical="center" wrapText="1"/>
    </xf>
    <xf numFmtId="0" fontId="11" fillId="54" borderId="92" xfId="0" applyFont="1" applyFill="1" applyBorder="1" applyAlignment="1">
      <alignment horizontal="left" vertical="center" wrapText="1"/>
    </xf>
    <xf numFmtId="0" fontId="11" fillId="54" borderId="35" xfId="0" applyFont="1" applyFill="1" applyBorder="1" applyAlignment="1">
      <alignment horizontal="left" vertical="center" wrapText="1"/>
    </xf>
    <xf numFmtId="0" fontId="6" fillId="54" borderId="42" xfId="0" applyFont="1" applyFill="1" applyBorder="1" applyAlignment="1">
      <alignment horizontal="left" vertical="center" wrapText="1"/>
    </xf>
    <xf numFmtId="0" fontId="6" fillId="54" borderId="92" xfId="0" applyFont="1" applyFill="1" applyBorder="1" applyAlignment="1">
      <alignment horizontal="left" vertical="center" wrapText="1"/>
    </xf>
    <xf numFmtId="0" fontId="11" fillId="54" borderId="94" xfId="0" applyFont="1" applyFill="1" applyBorder="1" applyAlignment="1">
      <alignment horizontal="left" vertical="center" wrapText="1"/>
    </xf>
    <xf numFmtId="176" fontId="6" fillId="0" borderId="7" xfId="1" applyNumberFormat="1" applyFont="1" applyBorder="1" applyAlignment="1">
      <alignment horizontal="center" vertical="center"/>
    </xf>
    <xf numFmtId="176" fontId="6" fillId="0" borderId="3" xfId="1" applyNumberFormat="1" applyFont="1" applyBorder="1" applyAlignment="1">
      <alignment horizontal="center" vertical="center"/>
    </xf>
    <xf numFmtId="176" fontId="6" fillId="0" borderId="6" xfId="1" applyNumberFormat="1" applyFont="1" applyBorder="1" applyAlignment="1">
      <alignment horizontal="center" vertical="center"/>
    </xf>
    <xf numFmtId="176" fontId="144" fillId="54" borderId="6" xfId="1" applyNumberFormat="1" applyFont="1" applyFill="1" applyBorder="1" applyAlignment="1">
      <alignment horizontal="center" vertical="center"/>
    </xf>
    <xf numFmtId="176" fontId="144" fillId="54" borderId="3" xfId="1" applyNumberFormat="1" applyFont="1" applyFill="1" applyBorder="1" applyAlignment="1">
      <alignment horizontal="center" vertical="center"/>
    </xf>
    <xf numFmtId="172" fontId="144" fillId="54" borderId="37" xfId="3" applyNumberFormat="1" applyFont="1" applyFill="1" applyBorder="1" applyAlignment="1">
      <alignment horizontal="center" vertical="center"/>
    </xf>
    <xf numFmtId="3" fontId="6" fillId="0" borderId="1" xfId="1" applyNumberFormat="1" applyFont="1" applyBorder="1" applyAlignment="1">
      <alignment horizontal="center" vertical="center"/>
    </xf>
    <xf numFmtId="172" fontId="144" fillId="3" borderId="34" xfId="3" applyNumberFormat="1" applyFont="1" applyFill="1" applyBorder="1" applyAlignment="1">
      <alignment horizontal="center" vertical="center"/>
    </xf>
    <xf numFmtId="176" fontId="144" fillId="54" borderId="28" xfId="1" applyNumberFormat="1" applyFont="1" applyFill="1" applyBorder="1" applyAlignment="1">
      <alignment horizontal="center" vertical="center"/>
    </xf>
    <xf numFmtId="172" fontId="144" fillId="54" borderId="34" xfId="3" applyNumberFormat="1" applyFont="1" applyFill="1" applyBorder="1" applyAlignment="1">
      <alignment horizontal="center" vertical="center"/>
    </xf>
    <xf numFmtId="0" fontId="11" fillId="55" borderId="40" xfId="0" applyFont="1" applyFill="1" applyBorder="1" applyAlignment="1">
      <alignment horizontal="left" vertical="center" wrapText="1"/>
    </xf>
    <xf numFmtId="0" fontId="11" fillId="55" borderId="92" xfId="0" applyFont="1" applyFill="1" applyBorder="1" applyAlignment="1">
      <alignment horizontal="left" vertical="center" wrapText="1"/>
    </xf>
    <xf numFmtId="0" fontId="11" fillId="55" borderId="35" xfId="0" applyFont="1" applyFill="1" applyBorder="1" applyAlignment="1">
      <alignment horizontal="left" vertical="center" wrapText="1"/>
    </xf>
    <xf numFmtId="0" fontId="11" fillId="55" borderId="42" xfId="0" applyFont="1" applyFill="1" applyBorder="1" applyAlignment="1">
      <alignment horizontal="left" vertical="center" wrapText="1"/>
    </xf>
    <xf numFmtId="0" fontId="50" fillId="56" borderId="161" xfId="0" applyFont="1" applyFill="1" applyBorder="1" applyAlignment="1">
      <alignment horizontal="center" vertical="center"/>
    </xf>
    <xf numFmtId="0" fontId="50" fillId="56" borderId="159" xfId="0" applyFont="1" applyFill="1" applyBorder="1" applyAlignment="1">
      <alignment horizontal="center" vertical="center"/>
    </xf>
    <xf numFmtId="172" fontId="6" fillId="3" borderId="6" xfId="3" applyNumberFormat="1" applyFont="1" applyFill="1" applyBorder="1" applyAlignment="1">
      <alignment horizontal="center" vertical="center"/>
    </xf>
    <xf numFmtId="172" fontId="6" fillId="3" borderId="3" xfId="3" applyNumberFormat="1" applyFont="1" applyFill="1" applyBorder="1" applyAlignment="1">
      <alignment horizontal="center" vertical="center"/>
    </xf>
    <xf numFmtId="172" fontId="6" fillId="3" borderId="11" xfId="3" applyNumberFormat="1" applyFont="1" applyFill="1" applyBorder="1" applyAlignment="1">
      <alignment horizontal="center" vertical="center"/>
    </xf>
    <xf numFmtId="172" fontId="6" fillId="3" borderId="37" xfId="3" applyNumberFormat="1" applyFont="1" applyFill="1" applyBorder="1" applyAlignment="1">
      <alignment horizontal="center" vertical="center"/>
    </xf>
    <xf numFmtId="172" fontId="6" fillId="0" borderId="6" xfId="3" applyNumberFormat="1" applyFont="1" applyFill="1" applyBorder="1" applyAlignment="1">
      <alignment horizontal="center" vertical="center"/>
    </xf>
    <xf numFmtId="172" fontId="6" fillId="0" borderId="3" xfId="3" applyNumberFormat="1" applyFont="1" applyFill="1" applyBorder="1" applyAlignment="1">
      <alignment horizontal="center" vertical="center"/>
    </xf>
    <xf numFmtId="172" fontId="6" fillId="0" borderId="11" xfId="3" applyNumberFormat="1" applyFont="1" applyFill="1" applyBorder="1" applyAlignment="1">
      <alignment horizontal="center" vertical="center"/>
    </xf>
    <xf numFmtId="172" fontId="11" fillId="0" borderId="3" xfId="3" applyNumberFormat="1" applyFont="1" applyFill="1" applyBorder="1" applyAlignment="1">
      <alignment horizontal="center" vertical="center"/>
    </xf>
    <xf numFmtId="172" fontId="55" fillId="3" borderId="159" xfId="9" applyNumberFormat="1" applyFont="1" applyFill="1" applyBorder="1" applyAlignment="1">
      <alignment horizontal="center" vertical="center"/>
    </xf>
    <xf numFmtId="0" fontId="55" fillId="0" borderId="161" xfId="9" applyFont="1" applyBorder="1" applyAlignment="1">
      <alignment horizontal="center" vertical="center"/>
    </xf>
    <xf numFmtId="0" fontId="55" fillId="0" borderId="159" xfId="9" applyFont="1" applyBorder="1" applyAlignment="1">
      <alignment horizontal="center" vertical="center"/>
    </xf>
    <xf numFmtId="170" fontId="55" fillId="0" borderId="159" xfId="9" applyNumberFormat="1" applyFont="1" applyBorder="1" applyAlignment="1">
      <alignment horizontal="center" vertical="center"/>
    </xf>
    <xf numFmtId="0" fontId="18" fillId="56" borderId="39" xfId="0" applyFont="1" applyFill="1" applyBorder="1" applyAlignment="1">
      <alignment horizontal="center"/>
    </xf>
    <xf numFmtId="3" fontId="144" fillId="3" borderId="86" xfId="0" applyNumberFormat="1" applyFont="1" applyFill="1" applyBorder="1" applyAlignment="1">
      <alignment horizontal="center" vertical="center"/>
    </xf>
    <xf numFmtId="3" fontId="6" fillId="3" borderId="28" xfId="5" applyNumberFormat="1" applyFont="1" applyFill="1" applyBorder="1" applyAlignment="1">
      <alignment horizontal="center" vertical="center"/>
    </xf>
    <xf numFmtId="3" fontId="6" fillId="3" borderId="1" xfId="5" applyNumberFormat="1" applyFont="1" applyFill="1" applyBorder="1" applyAlignment="1">
      <alignment horizontal="center" vertical="center"/>
    </xf>
    <xf numFmtId="3" fontId="144" fillId="54" borderId="86" xfId="0" applyNumberFormat="1" applyFont="1" applyFill="1" applyBorder="1" applyAlignment="1">
      <alignment horizontal="center" vertical="center"/>
    </xf>
    <xf numFmtId="3" fontId="144" fillId="54" borderId="39" xfId="0" applyNumberFormat="1" applyFont="1" applyFill="1" applyBorder="1" applyAlignment="1">
      <alignment horizontal="center" vertical="center"/>
    </xf>
    <xf numFmtId="3" fontId="6" fillId="3" borderId="5" xfId="0" applyNumberFormat="1" applyFont="1" applyFill="1" applyBorder="1" applyAlignment="1">
      <alignment horizontal="center" vertical="center"/>
    </xf>
    <xf numFmtId="3" fontId="6" fillId="54" borderId="86" xfId="0" applyNumberFormat="1" applyFont="1" applyFill="1" applyBorder="1" applyAlignment="1">
      <alignment horizontal="center" vertical="center"/>
    </xf>
    <xf numFmtId="1" fontId="54" fillId="54" borderId="86" xfId="0" applyNumberFormat="1" applyFont="1" applyFill="1" applyBorder="1" applyAlignment="1">
      <alignment horizontal="center" vertical="center" wrapText="1"/>
    </xf>
    <xf numFmtId="1" fontId="146" fillId="54" borderId="128" xfId="0" applyNumberFormat="1" applyFont="1" applyFill="1" applyBorder="1" applyAlignment="1">
      <alignment horizontal="center" vertical="center"/>
    </xf>
    <xf numFmtId="170" fontId="26" fillId="0" borderId="6" xfId="0" applyNumberFormat="1" applyFont="1" applyBorder="1" applyAlignment="1">
      <alignment horizontal="center" vertical="center" wrapText="1"/>
    </xf>
    <xf numFmtId="170" fontId="26" fillId="0" borderId="3" xfId="0" applyNumberFormat="1" applyFont="1" applyBorder="1" applyAlignment="1">
      <alignment horizontal="center" vertical="center" wrapText="1"/>
    </xf>
    <xf numFmtId="0" fontId="147" fillId="54" borderId="4" xfId="0" applyFont="1" applyFill="1" applyBorder="1" applyAlignment="1">
      <alignment horizontal="left" wrapText="1"/>
    </xf>
    <xf numFmtId="0" fontId="147" fillId="54" borderId="19" xfId="0" applyFont="1" applyFill="1" applyBorder="1" applyAlignment="1">
      <alignment horizontal="left" wrapText="1"/>
    </xf>
    <xf numFmtId="0" fontId="147" fillId="54" borderId="84" xfId="0" applyFont="1" applyFill="1" applyBorder="1" applyAlignment="1">
      <alignment horizontal="left" wrapText="1"/>
    </xf>
    <xf numFmtId="0" fontId="144" fillId="54" borderId="89" xfId="0" applyFont="1" applyFill="1" applyBorder="1" applyAlignment="1">
      <alignment horizontal="left"/>
    </xf>
    <xf numFmtId="0" fontId="144" fillId="54" borderId="19" xfId="0" applyFont="1" applyFill="1" applyBorder="1" applyAlignment="1">
      <alignment horizontal="left"/>
    </xf>
    <xf numFmtId="0" fontId="144" fillId="54" borderId="84" xfId="0" applyFont="1" applyFill="1" applyBorder="1" applyAlignment="1">
      <alignment horizontal="left" wrapText="1"/>
    </xf>
    <xf numFmtId="0" fontId="144" fillId="54" borderId="89" xfId="0" applyFont="1" applyFill="1" applyBorder="1" applyAlignment="1">
      <alignment horizontal="left" wrapText="1"/>
    </xf>
    <xf numFmtId="0" fontId="144" fillId="54" borderId="19" xfId="0" applyFont="1" applyFill="1" applyBorder="1" applyAlignment="1">
      <alignment horizontal="left" wrapText="1"/>
    </xf>
    <xf numFmtId="0" fontId="147" fillId="54" borderId="161" xfId="0" applyFont="1" applyFill="1" applyBorder="1" applyAlignment="1">
      <alignment horizontal="left" wrapText="1"/>
    </xf>
    <xf numFmtId="0" fontId="6" fillId="3" borderId="327" xfId="1" applyNumberFormat="1" applyFont="1" applyFill="1" applyBorder="1" applyAlignment="1">
      <alignment horizontal="center" vertical="center"/>
    </xf>
    <xf numFmtId="3" fontId="147" fillId="3" borderId="90" xfId="0" applyNumberFormat="1" applyFont="1" applyFill="1" applyBorder="1" applyAlignment="1">
      <alignment horizontal="center" vertical="center"/>
    </xf>
    <xf numFmtId="3" fontId="147" fillId="3" borderId="83" xfId="0" applyNumberFormat="1" applyFont="1" applyFill="1" applyBorder="1" applyAlignment="1">
      <alignment horizontal="center" vertical="center"/>
    </xf>
    <xf numFmtId="1" fontId="11" fillId="3" borderId="19" xfId="0" applyNumberFormat="1" applyFont="1" applyFill="1" applyBorder="1" applyAlignment="1">
      <alignment horizontal="center" vertical="center"/>
    </xf>
    <xf numFmtId="1" fontId="6" fillId="3" borderId="19" xfId="0" applyNumberFormat="1" applyFont="1" applyFill="1" applyBorder="1" applyAlignment="1">
      <alignment horizontal="center" vertical="center"/>
    </xf>
    <xf numFmtId="0" fontId="6" fillId="3" borderId="87" xfId="0" applyFont="1" applyFill="1" applyBorder="1" applyAlignment="1">
      <alignment horizontal="center" vertical="center"/>
    </xf>
    <xf numFmtId="3" fontId="147" fillId="3" borderId="89" xfId="0" applyNumberFormat="1" applyFont="1" applyFill="1" applyBorder="1" applyAlignment="1">
      <alignment horizontal="center" vertical="center"/>
    </xf>
    <xf numFmtId="0" fontId="11" fillId="0" borderId="28" xfId="0" applyFont="1" applyBorder="1" applyAlignment="1">
      <alignment horizontal="center" vertical="center"/>
    </xf>
    <xf numFmtId="1" fontId="11" fillId="3" borderId="1" xfId="0" applyNumberFormat="1" applyFont="1" applyFill="1" applyBorder="1" applyAlignment="1">
      <alignment horizontal="center" vertical="center"/>
    </xf>
    <xf numFmtId="170" fontId="147" fillId="3" borderId="1" xfId="0" applyNumberFormat="1" applyFont="1" applyFill="1" applyBorder="1" applyAlignment="1">
      <alignment horizontal="center" vertical="center"/>
    </xf>
    <xf numFmtId="170" fontId="147" fillId="3" borderId="34" xfId="0" applyNumberFormat="1" applyFont="1" applyFill="1" applyBorder="1" applyAlignment="1">
      <alignment horizontal="center" vertical="center"/>
    </xf>
    <xf numFmtId="3" fontId="11" fillId="3" borderId="1" xfId="0" applyNumberFormat="1" applyFont="1" applyFill="1" applyBorder="1" applyAlignment="1">
      <alignment horizontal="center" vertical="center"/>
    </xf>
    <xf numFmtId="1" fontId="6" fillId="3" borderId="1" xfId="0" applyNumberFormat="1" applyFont="1" applyFill="1" applyBorder="1" applyAlignment="1">
      <alignment horizontal="center" vertical="center"/>
    </xf>
    <xf numFmtId="174" fontId="147" fillId="3" borderId="1" xfId="0" applyNumberFormat="1" applyFont="1" applyFill="1" applyBorder="1" applyAlignment="1">
      <alignment horizontal="center" vertical="center"/>
    </xf>
    <xf numFmtId="178" fontId="11" fillId="3" borderId="28" xfId="0" applyNumberFormat="1" applyFont="1" applyFill="1" applyBorder="1" applyAlignment="1">
      <alignment horizontal="center" vertical="center"/>
    </xf>
    <xf numFmtId="178" fontId="11" fillId="3" borderId="1" xfId="0" applyNumberFormat="1" applyFont="1" applyFill="1" applyBorder="1" applyAlignment="1">
      <alignment horizontal="center" vertical="center"/>
    </xf>
    <xf numFmtId="0" fontId="6" fillId="3" borderId="8" xfId="0" applyFont="1" applyFill="1" applyBorder="1" applyAlignment="1">
      <alignment horizontal="center" vertical="center"/>
    </xf>
    <xf numFmtId="170" fontId="147" fillId="3" borderId="8" xfId="0" applyNumberFormat="1" applyFont="1" applyFill="1" applyBorder="1" applyAlignment="1">
      <alignment horizontal="center" vertical="center"/>
    </xf>
    <xf numFmtId="3" fontId="147" fillId="3" borderId="28" xfId="0" applyNumberFormat="1" applyFont="1" applyFill="1" applyBorder="1" applyAlignment="1">
      <alignment horizontal="center" vertical="center"/>
    </xf>
    <xf numFmtId="3" fontId="147" fillId="3" borderId="1" xfId="0" applyNumberFormat="1" applyFont="1" applyFill="1" applyBorder="1" applyAlignment="1">
      <alignment horizontal="center" vertical="center"/>
    </xf>
    <xf numFmtId="170" fontId="147" fillId="3" borderId="83" xfId="0" applyNumberFormat="1" applyFont="1" applyFill="1" applyBorder="1" applyAlignment="1">
      <alignment horizontal="center" vertical="center"/>
    </xf>
    <xf numFmtId="174" fontId="147" fillId="3" borderId="83" xfId="0" applyNumberFormat="1" applyFont="1" applyFill="1" applyBorder="1" applyAlignment="1">
      <alignment horizontal="center" vertical="center"/>
    </xf>
    <xf numFmtId="170" fontId="147" fillId="3" borderId="88" xfId="0" applyNumberFormat="1" applyFont="1" applyFill="1" applyBorder="1" applyAlignment="1">
      <alignment horizontal="center" vertical="center"/>
    </xf>
    <xf numFmtId="2" fontId="147" fillId="3" borderId="127" xfId="0" applyNumberFormat="1" applyFont="1" applyFill="1" applyBorder="1" applyAlignment="1">
      <alignment horizontal="center" vertical="center" wrapText="1"/>
    </xf>
    <xf numFmtId="2" fontId="147" fillId="3" borderId="86" xfId="0" applyNumberFormat="1" applyFont="1" applyFill="1" applyBorder="1" applyAlignment="1">
      <alignment horizontal="center" vertical="center" wrapText="1"/>
    </xf>
    <xf numFmtId="9" fontId="6" fillId="3" borderId="158" xfId="0" applyNumberFormat="1" applyFont="1" applyFill="1" applyBorder="1" applyAlignment="1">
      <alignment horizontal="center" vertical="center" wrapText="1"/>
    </xf>
    <xf numFmtId="9" fontId="6" fillId="3" borderId="29" xfId="0" applyNumberFormat="1" applyFont="1" applyFill="1" applyBorder="1" applyAlignment="1">
      <alignment horizontal="center" vertical="center" wrapText="1"/>
    </xf>
    <xf numFmtId="0" fontId="7" fillId="56" borderId="161" xfId="0" applyFont="1" applyFill="1" applyBorder="1" applyAlignment="1">
      <alignment horizontal="center" vertical="center"/>
    </xf>
    <xf numFmtId="9" fontId="6" fillId="0" borderId="4" xfId="3" applyFont="1" applyBorder="1" applyAlignment="1">
      <alignment horizontal="center" vertical="center"/>
    </xf>
    <xf numFmtId="3" fontId="6" fillId="0" borderId="19" xfId="0" applyNumberFormat="1" applyFont="1" applyBorder="1" applyAlignment="1">
      <alignment horizontal="center" vertical="center"/>
    </xf>
    <xf numFmtId="3" fontId="144" fillId="0" borderId="19" xfId="0" applyNumberFormat="1" applyFont="1" applyBorder="1" applyAlignment="1">
      <alignment horizontal="center" vertical="center"/>
    </xf>
    <xf numFmtId="10" fontId="144" fillId="0" borderId="84" xfId="3" applyNumberFormat="1" applyFont="1" applyBorder="1" applyAlignment="1">
      <alignment horizontal="center" vertical="center"/>
    </xf>
    <xf numFmtId="0" fontId="7" fillId="56" borderId="159" xfId="0" applyFont="1" applyFill="1" applyBorder="1" applyAlignment="1">
      <alignment horizontal="center" vertical="center"/>
    </xf>
    <xf numFmtId="9" fontId="6" fillId="0" borderId="7" xfId="3" applyFont="1" applyBorder="1" applyAlignment="1">
      <alignment horizontal="center" vertical="center"/>
    </xf>
    <xf numFmtId="3" fontId="144" fillId="0" borderId="3" xfId="0" applyNumberFormat="1" applyFont="1" applyBorder="1" applyAlignment="1">
      <alignment horizontal="center" vertical="center"/>
    </xf>
    <xf numFmtId="10" fontId="144" fillId="0" borderId="37" xfId="3" applyNumberFormat="1" applyFont="1" applyBorder="1" applyAlignment="1">
      <alignment horizontal="center" vertical="center"/>
    </xf>
    <xf numFmtId="0" fontId="18" fillId="69" borderId="237" xfId="0" applyFont="1" applyFill="1" applyBorder="1" applyAlignment="1">
      <alignment horizontal="center" vertical="center" wrapText="1"/>
    </xf>
    <xf numFmtId="0" fontId="18" fillId="69" borderId="10" xfId="0" applyFont="1" applyFill="1" applyBorder="1" applyAlignment="1">
      <alignment horizontal="center" vertical="center" wrapText="1"/>
    </xf>
    <xf numFmtId="172" fontId="6" fillId="4" borderId="92" xfId="1" applyNumberFormat="1" applyFont="1" applyFill="1" applyBorder="1" applyAlignment="1">
      <alignment horizontal="center" vertical="center" wrapText="1"/>
    </xf>
    <xf numFmtId="172" fontId="6" fillId="4" borderId="35" xfId="1" applyNumberFormat="1" applyFont="1" applyFill="1" applyBorder="1" applyAlignment="1">
      <alignment horizontal="center" vertical="center" wrapText="1"/>
    </xf>
    <xf numFmtId="172" fontId="6" fillId="4" borderId="94" xfId="1" applyNumberFormat="1" applyFont="1" applyFill="1" applyBorder="1" applyAlignment="1">
      <alignment horizontal="center" vertical="center" wrapText="1"/>
    </xf>
    <xf numFmtId="176" fontId="6" fillId="4" borderId="40" xfId="1" applyNumberFormat="1" applyFont="1" applyFill="1" applyBorder="1" applyAlignment="1">
      <alignment horizontal="center" vertical="center" wrapText="1"/>
    </xf>
    <xf numFmtId="9" fontId="6" fillId="4" borderId="92" xfId="3" applyFont="1" applyFill="1" applyBorder="1" applyAlignment="1">
      <alignment horizontal="center" vertical="center" wrapText="1"/>
    </xf>
    <xf numFmtId="9" fontId="6" fillId="4" borderId="92" xfId="1" applyNumberFormat="1" applyFont="1" applyFill="1" applyBorder="1" applyAlignment="1">
      <alignment horizontal="center" vertical="center" wrapText="1"/>
    </xf>
    <xf numFmtId="176" fontId="6" fillId="4" borderId="92" xfId="1" applyNumberFormat="1" applyFont="1" applyFill="1" applyBorder="1" applyAlignment="1">
      <alignment horizontal="center" vertical="center" wrapText="1"/>
    </xf>
    <xf numFmtId="170" fontId="6" fillId="4" borderId="84" xfId="1" applyNumberFormat="1" applyFont="1" applyFill="1" applyBorder="1" applyAlignment="1">
      <alignment horizontal="center" vertical="center" wrapText="1"/>
    </xf>
    <xf numFmtId="170" fontId="6" fillId="4" borderId="34" xfId="1" applyNumberFormat="1" applyFont="1" applyFill="1" applyBorder="1" applyAlignment="1">
      <alignment horizontal="center" vertical="center" wrapText="1"/>
    </xf>
    <xf numFmtId="0" fontId="18" fillId="70" borderId="161" xfId="0" applyFont="1" applyFill="1" applyBorder="1" applyAlignment="1">
      <alignment horizontal="center" vertical="center" wrapText="1"/>
    </xf>
    <xf numFmtId="0" fontId="18" fillId="70" borderId="158" xfId="0" applyFont="1" applyFill="1" applyBorder="1" applyAlignment="1">
      <alignment horizontal="center" vertical="center" wrapText="1"/>
    </xf>
    <xf numFmtId="0" fontId="18" fillId="70" borderId="38" xfId="0" applyFont="1" applyFill="1" applyBorder="1" applyAlignment="1">
      <alignment horizontal="center" vertical="center"/>
    </xf>
    <xf numFmtId="0" fontId="18" fillId="70" borderId="158" xfId="0" applyFont="1" applyFill="1" applyBorder="1" applyAlignment="1">
      <alignment horizontal="center" vertical="center"/>
    </xf>
    <xf numFmtId="0" fontId="18" fillId="70" borderId="39" xfId="0" applyFont="1" applyFill="1" applyBorder="1" applyAlignment="1">
      <alignment horizontal="center" vertical="center"/>
    </xf>
    <xf numFmtId="10" fontId="6" fillId="4" borderId="34" xfId="1" applyNumberFormat="1" applyFont="1" applyFill="1" applyBorder="1" applyAlignment="1">
      <alignment horizontal="center" vertical="center" wrapText="1"/>
    </xf>
    <xf numFmtId="172" fontId="6" fillId="0" borderId="28" xfId="0" applyNumberFormat="1" applyFont="1" applyBorder="1" applyAlignment="1">
      <alignment horizontal="center" vertical="center"/>
    </xf>
    <xf numFmtId="172" fontId="6" fillId="0" borderId="34" xfId="0" applyNumberFormat="1" applyFont="1" applyBorder="1" applyAlignment="1">
      <alignment horizontal="center" vertical="center"/>
    </xf>
    <xf numFmtId="172" fontId="6" fillId="0" borderId="8" xfId="0" applyNumberFormat="1" applyFont="1" applyBorder="1" applyAlignment="1">
      <alignment horizontal="center" vertical="center"/>
    </xf>
    <xf numFmtId="172" fontId="6" fillId="0" borderId="5" xfId="0" applyNumberFormat="1" applyFont="1" applyBorder="1" applyAlignment="1">
      <alignment horizontal="center" vertical="center"/>
    </xf>
    <xf numFmtId="172" fontId="144" fillId="54" borderId="29" xfId="0" applyNumberFormat="1" applyFont="1" applyFill="1" applyBorder="1" applyAlignment="1">
      <alignment horizontal="center" vertical="center"/>
    </xf>
    <xf numFmtId="172" fontId="144" fillId="54" borderId="34" xfId="0" applyNumberFormat="1" applyFont="1" applyFill="1" applyBorder="1" applyAlignment="1">
      <alignment horizontal="center" vertical="center"/>
    </xf>
    <xf numFmtId="172" fontId="6" fillId="0" borderId="89" xfId="0" applyNumberFormat="1" applyFont="1" applyBorder="1" applyAlignment="1">
      <alignment horizontal="center" vertical="center"/>
    </xf>
    <xf numFmtId="172" fontId="6" fillId="0" borderId="84" xfId="0" applyNumberFormat="1" applyFont="1" applyBorder="1" applyAlignment="1">
      <alignment horizontal="center" vertical="center"/>
    </xf>
    <xf numFmtId="172" fontId="6" fillId="0" borderId="87" xfId="0" applyNumberFormat="1" applyFont="1" applyBorder="1" applyAlignment="1">
      <alignment horizontal="center" vertical="center"/>
    </xf>
    <xf numFmtId="172" fontId="6" fillId="0" borderId="4" xfId="0" applyNumberFormat="1" applyFont="1" applyBorder="1" applyAlignment="1">
      <alignment horizontal="center" vertical="center"/>
    </xf>
    <xf numFmtId="172" fontId="6" fillId="61" borderId="4" xfId="0" applyNumberFormat="1" applyFont="1" applyFill="1" applyBorder="1" applyAlignment="1">
      <alignment horizontal="center" vertical="center"/>
    </xf>
    <xf numFmtId="172" fontId="6" fillId="61" borderId="5" xfId="0" applyNumberFormat="1" applyFont="1" applyFill="1" applyBorder="1" applyAlignment="1">
      <alignment horizontal="center" vertical="center"/>
    </xf>
    <xf numFmtId="172" fontId="6" fillId="61" borderId="164" xfId="0" applyNumberFormat="1" applyFont="1" applyFill="1" applyBorder="1" applyAlignment="1">
      <alignment horizontal="center" vertical="center"/>
    </xf>
    <xf numFmtId="172" fontId="6" fillId="61" borderId="160" xfId="0" applyNumberFormat="1" applyFont="1" applyFill="1" applyBorder="1" applyAlignment="1">
      <alignment horizontal="center" vertical="center"/>
    </xf>
    <xf numFmtId="172" fontId="6" fillId="0" borderId="84" xfId="3" applyNumberFormat="1" applyFont="1" applyFill="1" applyBorder="1" applyAlignment="1">
      <alignment horizontal="center" vertical="center"/>
    </xf>
    <xf numFmtId="172" fontId="147" fillId="54" borderId="169" xfId="2" applyNumberFormat="1" applyFont="1" applyFill="1" applyBorder="1" applyAlignment="1">
      <alignment horizontal="center" vertical="center"/>
    </xf>
    <xf numFmtId="172" fontId="147" fillId="54" borderId="84" xfId="2" applyNumberFormat="1" applyFont="1" applyFill="1" applyBorder="1" applyAlignment="1">
      <alignment horizontal="center" vertical="center"/>
    </xf>
    <xf numFmtId="0" fontId="18" fillId="56" borderId="1" xfId="0" applyFont="1" applyFill="1" applyBorder="1" applyAlignment="1">
      <alignment horizontal="center" vertical="center"/>
    </xf>
    <xf numFmtId="0" fontId="18" fillId="56" borderId="2" xfId="0" applyFont="1" applyFill="1" applyBorder="1" applyAlignment="1">
      <alignment horizontal="center" vertical="center"/>
    </xf>
    <xf numFmtId="0" fontId="18" fillId="56" borderId="161" xfId="0" applyFont="1" applyFill="1" applyBorder="1" applyAlignment="1">
      <alignment horizontal="center" vertical="top"/>
    </xf>
    <xf numFmtId="0" fontId="18" fillId="56" borderId="158" xfId="0" applyFont="1" applyFill="1" applyBorder="1" applyAlignment="1">
      <alignment horizontal="center" vertical="top"/>
    </xf>
    <xf numFmtId="0" fontId="18" fillId="56" borderId="128" xfId="0" applyFont="1" applyFill="1" applyBorder="1" applyAlignment="1">
      <alignment horizontal="center" vertical="top"/>
    </xf>
    <xf numFmtId="0" fontId="18" fillId="56" borderId="132" xfId="0" applyFont="1" applyFill="1" applyBorder="1" applyAlignment="1">
      <alignment horizontal="center" vertical="top"/>
    </xf>
    <xf numFmtId="0" fontId="18" fillId="56" borderId="21" xfId="0" applyFont="1" applyFill="1" applyBorder="1" applyAlignment="1">
      <alignment horizontal="center" vertical="top"/>
    </xf>
    <xf numFmtId="0" fontId="6" fillId="55" borderId="19" xfId="0" applyFont="1" applyFill="1" applyBorder="1" applyAlignment="1">
      <alignment horizontal="left" vertical="top" indent="1"/>
    </xf>
    <xf numFmtId="0" fontId="6" fillId="55" borderId="19" xfId="0" applyFont="1" applyFill="1" applyBorder="1" applyAlignment="1">
      <alignment horizontal="left" vertical="top"/>
    </xf>
    <xf numFmtId="0" fontId="6" fillId="55" borderId="84" xfId="0" applyFont="1" applyFill="1" applyBorder="1" applyAlignment="1">
      <alignment horizontal="left" vertical="top"/>
    </xf>
    <xf numFmtId="0" fontId="18" fillId="56" borderId="161" xfId="0" applyFont="1" applyFill="1" applyBorder="1" applyAlignment="1">
      <alignment horizontal="center" wrapText="1"/>
    </xf>
    <xf numFmtId="0" fontId="18" fillId="56" borderId="31" xfId="0" applyFont="1" applyFill="1" applyBorder="1" applyAlignment="1">
      <alignment horizontal="center" wrapText="1"/>
    </xf>
    <xf numFmtId="0" fontId="18" fillId="56" borderId="158" xfId="0" applyFont="1" applyFill="1" applyBorder="1" applyAlignment="1">
      <alignment horizontal="center" wrapText="1"/>
    </xf>
    <xf numFmtId="0" fontId="18" fillId="56" borderId="157" xfId="0" applyFont="1" applyFill="1" applyBorder="1" applyAlignment="1">
      <alignment horizontal="center" wrapText="1"/>
    </xf>
    <xf numFmtId="3" fontId="6" fillId="0" borderId="89" xfId="0" applyNumberFormat="1" applyFont="1" applyBorder="1" applyAlignment="1">
      <alignment horizontal="center" vertical="center"/>
    </xf>
    <xf numFmtId="3" fontId="6" fillId="0" borderId="15" xfId="0" applyNumberFormat="1" applyFont="1" applyBorder="1" applyAlignment="1">
      <alignment horizontal="center" vertical="center"/>
    </xf>
    <xf numFmtId="3" fontId="6" fillId="0" borderId="82" xfId="0" applyNumberFormat="1" applyFont="1" applyBorder="1" applyAlignment="1">
      <alignment horizontal="center" vertical="center"/>
    </xf>
    <xf numFmtId="3" fontId="6" fillId="3" borderId="40" xfId="0" applyNumberFormat="1" applyFont="1" applyFill="1" applyBorder="1" applyAlignment="1">
      <alignment horizontal="center" vertical="center"/>
    </xf>
    <xf numFmtId="3" fontId="6" fillId="0" borderId="18" xfId="0" applyNumberFormat="1" applyFont="1" applyBorder="1" applyAlignment="1">
      <alignment horizontal="center" vertical="center"/>
    </xf>
    <xf numFmtId="3" fontId="6" fillId="0" borderId="2" xfId="0" applyNumberFormat="1" applyFont="1" applyBorder="1" applyAlignment="1">
      <alignment horizontal="center" vertical="center"/>
    </xf>
    <xf numFmtId="3" fontId="6" fillId="3" borderId="92" xfId="0" applyNumberFormat="1" applyFont="1" applyFill="1" applyBorder="1" applyAlignment="1">
      <alignment horizontal="center" vertical="center"/>
    </xf>
    <xf numFmtId="9" fontId="6" fillId="0" borderId="84" xfId="3" applyFont="1" applyFill="1" applyBorder="1" applyAlignment="1">
      <alignment horizontal="center" vertical="center"/>
    </xf>
    <xf numFmtId="9" fontId="6" fillId="0" borderId="129" xfId="3" applyFont="1" applyFill="1" applyBorder="1" applyAlignment="1">
      <alignment horizontal="center" vertical="center"/>
    </xf>
    <xf numFmtId="9" fontId="6" fillId="0" borderId="34" xfId="3" applyFont="1" applyFill="1" applyBorder="1" applyAlignment="1">
      <alignment horizontal="center" vertical="center"/>
    </xf>
    <xf numFmtId="9" fontId="6" fillId="3" borderId="35" xfId="3" applyFont="1" applyFill="1" applyBorder="1" applyAlignment="1">
      <alignment horizontal="center" vertical="center"/>
    </xf>
    <xf numFmtId="3" fontId="6" fillId="0" borderId="13" xfId="0" applyNumberFormat="1" applyFont="1" applyBorder="1" applyAlignment="1">
      <alignment horizontal="center" vertical="center"/>
    </xf>
    <xf numFmtId="3" fontId="6" fillId="0" borderId="12" xfId="0" applyNumberFormat="1" applyFont="1" applyBorder="1" applyAlignment="1">
      <alignment horizontal="center" vertical="center"/>
    </xf>
    <xf numFmtId="3" fontId="6" fillId="0" borderId="4" xfId="0" applyNumberFormat="1" applyFont="1" applyBorder="1" applyAlignment="1">
      <alignment horizontal="center" vertical="center"/>
    </xf>
    <xf numFmtId="3" fontId="6" fillId="8" borderId="40" xfId="0" applyNumberFormat="1" applyFont="1" applyFill="1" applyBorder="1" applyAlignment="1">
      <alignment horizontal="center" vertical="center"/>
    </xf>
    <xf numFmtId="3" fontId="6" fillId="8" borderId="92" xfId="0" applyNumberFormat="1" applyFont="1" applyFill="1" applyBorder="1" applyAlignment="1">
      <alignment horizontal="center" vertical="center"/>
    </xf>
    <xf numFmtId="3" fontId="144" fillId="54" borderId="89" xfId="0" applyNumberFormat="1" applyFont="1" applyFill="1" applyBorder="1" applyAlignment="1">
      <alignment horizontal="center" vertical="center"/>
    </xf>
    <xf numFmtId="3" fontId="144" fillId="54" borderId="28" xfId="0" applyNumberFormat="1" applyFont="1" applyFill="1" applyBorder="1" applyAlignment="1">
      <alignment horizontal="center" vertical="center"/>
    </xf>
    <xf numFmtId="3" fontId="144" fillId="54" borderId="13" xfId="0" applyNumberFormat="1" applyFont="1" applyFill="1" applyBorder="1" applyAlignment="1">
      <alignment horizontal="center" vertical="center"/>
    </xf>
    <xf numFmtId="3" fontId="144" fillId="54" borderId="40" xfId="0" applyNumberFormat="1" applyFont="1" applyFill="1" applyBorder="1" applyAlignment="1">
      <alignment horizontal="center" vertical="center"/>
    </xf>
    <xf numFmtId="3" fontId="144" fillId="54" borderId="19" xfId="0" applyNumberFormat="1" applyFont="1" applyFill="1" applyBorder="1" applyAlignment="1">
      <alignment horizontal="center" vertical="center"/>
    </xf>
    <xf numFmtId="3" fontId="144" fillId="54" borderId="18" xfId="0" applyNumberFormat="1" applyFont="1" applyFill="1" applyBorder="1" applyAlignment="1">
      <alignment horizontal="center" vertical="center"/>
    </xf>
    <xf numFmtId="3" fontId="144" fillId="54" borderId="2" xfId="0" applyNumberFormat="1" applyFont="1" applyFill="1" applyBorder="1" applyAlignment="1">
      <alignment horizontal="center" vertical="center"/>
    </xf>
    <xf numFmtId="3" fontId="144" fillId="54" borderId="1" xfId="0" applyNumberFormat="1" applyFont="1" applyFill="1" applyBorder="1" applyAlignment="1">
      <alignment horizontal="center" vertical="center"/>
    </xf>
    <xf numFmtId="3" fontId="144" fillId="54" borderId="92" xfId="0" applyNumberFormat="1" applyFont="1" applyFill="1" applyBorder="1" applyAlignment="1">
      <alignment horizontal="center" vertical="center"/>
    </xf>
    <xf numFmtId="9" fontId="144" fillId="54" borderId="19" xfId="0" applyNumberFormat="1" applyFont="1" applyFill="1" applyBorder="1" applyAlignment="1">
      <alignment horizontal="center" vertical="center"/>
    </xf>
    <xf numFmtId="9" fontId="144" fillId="54" borderId="1" xfId="0" applyNumberFormat="1" applyFont="1" applyFill="1" applyBorder="1" applyAlignment="1">
      <alignment horizontal="center" vertical="center"/>
    </xf>
    <xf numFmtId="0" fontId="18" fillId="56" borderId="159" xfId="0" applyFont="1" applyFill="1" applyBorder="1" applyAlignment="1">
      <alignment horizontal="center" wrapText="1"/>
    </xf>
    <xf numFmtId="0" fontId="18" fillId="56" borderId="39" xfId="0" applyFont="1" applyFill="1" applyBorder="1" applyAlignment="1">
      <alignment horizontal="center" wrapText="1"/>
    </xf>
    <xf numFmtId="0" fontId="6" fillId="0" borderId="164" xfId="0" applyFont="1" applyBorder="1" applyAlignment="1">
      <alignment horizontal="left" vertical="top" wrapText="1"/>
    </xf>
    <xf numFmtId="0" fontId="6" fillId="0" borderId="93" xfId="0" applyFont="1" applyBorder="1" applyAlignment="1">
      <alignment vertical="top" wrapText="1"/>
    </xf>
    <xf numFmtId="0" fontId="6" fillId="0" borderId="160" xfId="0" applyFont="1" applyBorder="1" applyAlignment="1">
      <alignment vertical="top" wrapText="1"/>
    </xf>
    <xf numFmtId="0" fontId="6" fillId="0" borderId="97" xfId="0" applyFont="1" applyBorder="1" applyAlignment="1">
      <alignment vertical="top" wrapText="1"/>
    </xf>
    <xf numFmtId="0" fontId="18" fillId="2" borderId="51" xfId="0" applyFont="1" applyFill="1" applyBorder="1" applyAlignment="1">
      <alignment horizontal="center" vertical="center" wrapText="1"/>
    </xf>
    <xf numFmtId="0" fontId="7" fillId="3" borderId="12" xfId="0" applyFont="1" applyFill="1" applyBorder="1"/>
    <xf numFmtId="0" fontId="18" fillId="2" borderId="166" xfId="0" applyFont="1" applyFill="1" applyBorder="1" applyAlignment="1">
      <alignment horizontal="center" vertical="center" wrapText="1"/>
    </xf>
    <xf numFmtId="0" fontId="6" fillId="55" borderId="332" xfId="0" applyFont="1" applyFill="1" applyBorder="1" applyAlignment="1">
      <alignment vertical="center" wrapText="1"/>
    </xf>
    <xf numFmtId="0" fontId="6" fillId="4" borderId="207" xfId="0" applyFont="1" applyFill="1" applyBorder="1" applyAlignment="1">
      <alignment vertical="center"/>
    </xf>
    <xf numFmtId="0" fontId="6" fillId="4" borderId="47" xfId="0" applyFont="1" applyFill="1" applyBorder="1" applyAlignment="1">
      <alignment vertical="center"/>
    </xf>
    <xf numFmtId="0" fontId="6" fillId="68" borderId="51" xfId="0" applyFont="1" applyFill="1" applyBorder="1" applyAlignment="1">
      <alignment vertical="center"/>
    </xf>
    <xf numFmtId="0" fontId="141" fillId="0" borderId="207" xfId="6" applyFont="1" applyFill="1" applyBorder="1" applyAlignment="1">
      <alignment vertical="center" wrapText="1"/>
    </xf>
    <xf numFmtId="0" fontId="141" fillId="0" borderId="47" xfId="6" applyFont="1" applyFill="1" applyBorder="1" applyAlignment="1">
      <alignment vertical="center" wrapText="1"/>
    </xf>
    <xf numFmtId="0" fontId="155" fillId="3" borderId="47" xfId="6" applyFont="1" applyFill="1" applyBorder="1" applyAlignment="1">
      <alignment vertical="center" wrapText="1"/>
    </xf>
    <xf numFmtId="0" fontId="6" fillId="0" borderId="207" xfId="0" applyFont="1" applyBorder="1" applyAlignment="1">
      <alignment vertical="center" wrapText="1"/>
    </xf>
    <xf numFmtId="0" fontId="6" fillId="0" borderId="47" xfId="0" applyFont="1" applyBorder="1" applyAlignment="1">
      <alignment vertical="center" wrapText="1"/>
    </xf>
    <xf numFmtId="0" fontId="6" fillId="3" borderId="47" xfId="0" applyFont="1" applyFill="1" applyBorder="1" applyAlignment="1">
      <alignment vertical="center" wrapText="1"/>
    </xf>
    <xf numFmtId="0" fontId="6" fillId="0" borderId="329" xfId="0" applyFont="1" applyBorder="1" applyAlignment="1">
      <alignment vertical="center" wrapText="1"/>
    </xf>
    <xf numFmtId="0" fontId="6" fillId="0" borderId="331" xfId="0" applyFont="1" applyBorder="1" applyAlignment="1">
      <alignment vertical="center" wrapText="1"/>
    </xf>
    <xf numFmtId="0" fontId="6" fillId="3" borderId="331" xfId="0" applyFont="1" applyFill="1" applyBorder="1" applyAlignment="1">
      <alignment vertical="center" wrapText="1"/>
    </xf>
    <xf numFmtId="0" fontId="6" fillId="55" borderId="326" xfId="0" applyFont="1" applyFill="1" applyBorder="1" applyAlignment="1">
      <alignment vertical="center" wrapText="1"/>
    </xf>
    <xf numFmtId="0" fontId="6" fillId="55" borderId="48" xfId="0" applyFont="1" applyFill="1" applyBorder="1" applyAlignment="1">
      <alignment vertical="center" wrapText="1"/>
    </xf>
    <xf numFmtId="0" fontId="6" fillId="55" borderId="325" xfId="0" applyFont="1" applyFill="1" applyBorder="1" applyAlignment="1">
      <alignment vertical="center" wrapText="1"/>
    </xf>
    <xf numFmtId="0" fontId="6" fillId="55" borderId="337" xfId="0" applyFont="1" applyFill="1" applyBorder="1" applyAlignment="1">
      <alignment vertical="center" wrapText="1"/>
    </xf>
    <xf numFmtId="0" fontId="11" fillId="55" borderId="333" xfId="0" applyFont="1" applyFill="1" applyBorder="1" applyAlignment="1">
      <alignment vertical="center" wrapText="1"/>
    </xf>
    <xf numFmtId="0" fontId="6" fillId="0" borderId="47" xfId="0" applyFont="1" applyBorder="1" applyAlignment="1">
      <alignment vertical="center"/>
    </xf>
    <xf numFmtId="0" fontId="6" fillId="0" borderId="166" xfId="0" applyFont="1" applyBorder="1" applyAlignment="1">
      <alignment vertical="center"/>
    </xf>
    <xf numFmtId="0" fontId="6" fillId="0" borderId="330" xfId="0" applyFont="1" applyBorder="1" applyAlignment="1">
      <alignment vertical="center"/>
    </xf>
    <xf numFmtId="0" fontId="6" fillId="55" borderId="41" xfId="0" applyFont="1" applyFill="1" applyBorder="1" applyAlignment="1">
      <alignment vertical="center" wrapText="1"/>
    </xf>
    <xf numFmtId="3" fontId="26" fillId="0" borderId="47" xfId="0" applyNumberFormat="1" applyFont="1" applyBorder="1" applyAlignment="1">
      <alignment horizontal="left" vertical="center" wrapText="1"/>
    </xf>
    <xf numFmtId="164" fontId="6" fillId="0" borderId="47" xfId="0" applyNumberFormat="1" applyFont="1" applyBorder="1" applyAlignment="1">
      <alignment horizontal="left" vertical="center"/>
    </xf>
    <xf numFmtId="164" fontId="26" fillId="0" borderId="47" xfId="0" applyNumberFormat="1" applyFont="1" applyBorder="1" applyAlignment="1">
      <alignment horizontal="left" vertical="center"/>
    </xf>
    <xf numFmtId="164" fontId="6" fillId="0" borderId="47" xfId="0" applyNumberFormat="1" applyFont="1" applyBorder="1" applyAlignment="1">
      <alignment horizontal="left" vertical="center" wrapText="1"/>
    </xf>
    <xf numFmtId="170" fontId="26" fillId="0" borderId="47" xfId="0" applyNumberFormat="1" applyFont="1" applyBorder="1" applyAlignment="1">
      <alignment horizontal="left" vertical="center"/>
    </xf>
    <xf numFmtId="0" fontId="6" fillId="55" borderId="45" xfId="0" applyFont="1" applyFill="1" applyBorder="1" applyAlignment="1">
      <alignment vertical="center" wrapText="1"/>
    </xf>
    <xf numFmtId="0" fontId="6" fillId="0" borderId="44" xfId="0" applyFont="1" applyBorder="1" applyAlignment="1">
      <alignment vertical="center"/>
    </xf>
    <xf numFmtId="0" fontId="6" fillId="55" borderId="327" xfId="0" applyFont="1" applyFill="1" applyBorder="1" applyAlignment="1">
      <alignment horizontal="left" vertical="center" wrapText="1" indent="1"/>
    </xf>
    <xf numFmtId="0" fontId="6" fillId="55" borderId="328" xfId="0" applyFont="1" applyFill="1" applyBorder="1" applyAlignment="1">
      <alignment horizontal="left" vertical="center" wrapText="1" indent="1"/>
    </xf>
    <xf numFmtId="0" fontId="6" fillId="55" borderId="48" xfId="0" applyFont="1" applyFill="1" applyBorder="1" applyAlignment="1">
      <alignment horizontal="left" vertical="center" wrapText="1" indent="1"/>
    </xf>
    <xf numFmtId="0" fontId="6" fillId="55" borderId="335" xfId="0" applyFont="1" applyFill="1" applyBorder="1" applyAlignment="1">
      <alignment horizontal="left" vertical="center" wrapText="1" indent="1"/>
    </xf>
    <xf numFmtId="0" fontId="6" fillId="55" borderId="336" xfId="0" applyFont="1" applyFill="1" applyBorder="1" applyAlignment="1">
      <alignment horizontal="left" vertical="center" wrapText="1" indent="1"/>
    </xf>
    <xf numFmtId="0" fontId="26" fillId="0" borderId="0" xfId="0" applyFont="1" applyAlignment="1">
      <alignment horizontal="left" vertical="top" wrapText="1"/>
    </xf>
    <xf numFmtId="179" fontId="6" fillId="3" borderId="3" xfId="0" applyNumberFormat="1" applyFont="1" applyFill="1" applyBorder="1" applyAlignment="1">
      <alignment horizontal="center" vertical="center"/>
    </xf>
    <xf numFmtId="0" fontId="26" fillId="58" borderId="28" xfId="0" applyFont="1" applyFill="1" applyBorder="1" applyAlignment="1">
      <alignment horizontal="center" vertical="center" wrapText="1"/>
    </xf>
    <xf numFmtId="9" fontId="6" fillId="3" borderId="1" xfId="0" applyNumberFormat="1" applyFont="1" applyFill="1" applyBorder="1" applyAlignment="1">
      <alignment horizontal="center" vertical="center"/>
    </xf>
    <xf numFmtId="0" fontId="26" fillId="58" borderId="6" xfId="0" applyFont="1" applyFill="1" applyBorder="1" applyAlignment="1">
      <alignment horizontal="center" vertical="center" wrapText="1"/>
    </xf>
    <xf numFmtId="9" fontId="6" fillId="3" borderId="3" xfId="0" applyNumberFormat="1" applyFont="1" applyFill="1" applyBorder="1" applyAlignment="1">
      <alignment horizontal="center" vertical="center"/>
    </xf>
    <xf numFmtId="170" fontId="6" fillId="0" borderId="1" xfId="0" applyNumberFormat="1" applyFont="1" applyBorder="1" applyAlignment="1">
      <alignment horizontal="center" vertical="center"/>
    </xf>
    <xf numFmtId="172" fontId="6" fillId="3" borderId="5" xfId="0" applyNumberFormat="1" applyFont="1" applyFill="1" applyBorder="1" applyAlignment="1">
      <alignment horizontal="center" vertical="center"/>
    </xf>
    <xf numFmtId="0" fontId="6" fillId="0" borderId="2" xfId="0" applyFont="1" applyBorder="1"/>
    <xf numFmtId="0" fontId="6" fillId="0" borderId="28" xfId="0" applyFont="1" applyBorder="1"/>
    <xf numFmtId="4" fontId="6" fillId="3" borderId="109" xfId="0" applyNumberFormat="1" applyFont="1" applyFill="1" applyBorder="1" applyAlignment="1">
      <alignment horizontal="center" vertical="center" wrapText="1"/>
    </xf>
    <xf numFmtId="174" fontId="6" fillId="0" borderId="1" xfId="0" applyNumberFormat="1" applyFont="1" applyBorder="1" applyAlignment="1">
      <alignment horizontal="center" vertical="center"/>
    </xf>
    <xf numFmtId="0" fontId="26" fillId="3" borderId="34" xfId="0" applyFont="1" applyFill="1" applyBorder="1" applyAlignment="1">
      <alignment horizontal="center" vertical="center" wrapText="1"/>
    </xf>
    <xf numFmtId="0" fontId="11" fillId="3" borderId="0" xfId="0" applyFont="1" applyFill="1" applyAlignment="1">
      <alignment horizontal="left" vertical="center" wrapText="1"/>
    </xf>
    <xf numFmtId="0" fontId="6" fillId="0" borderId="0" xfId="0" applyFont="1" applyAlignment="1">
      <alignment horizontal="center" wrapText="1"/>
    </xf>
    <xf numFmtId="0" fontId="6" fillId="55" borderId="41" xfId="0" applyFont="1" applyFill="1" applyBorder="1" applyAlignment="1">
      <alignment wrapText="1"/>
    </xf>
    <xf numFmtId="174" fontId="11" fillId="3" borderId="1" xfId="0" applyNumberFormat="1" applyFont="1" applyFill="1" applyBorder="1" applyAlignment="1">
      <alignment horizontal="center" vertical="center"/>
    </xf>
    <xf numFmtId="0" fontId="6" fillId="55" borderId="131" xfId="0" applyFont="1" applyFill="1" applyBorder="1" applyAlignment="1">
      <alignment vertical="center" wrapText="1"/>
    </xf>
    <xf numFmtId="0" fontId="6" fillId="55" borderId="156" xfId="0" applyFont="1" applyFill="1" applyBorder="1" applyAlignment="1">
      <alignment vertical="center" wrapText="1"/>
    </xf>
    <xf numFmtId="0" fontId="6" fillId="55" borderId="154" xfId="0" applyFont="1" applyFill="1" applyBorder="1" applyAlignment="1">
      <alignment vertical="center" wrapText="1"/>
    </xf>
    <xf numFmtId="0" fontId="6" fillId="55" borderId="220" xfId="0" applyFont="1" applyFill="1" applyBorder="1" applyAlignment="1">
      <alignment vertical="center" wrapText="1"/>
    </xf>
    <xf numFmtId="0" fontId="6" fillId="55" borderId="155" xfId="0" applyFont="1" applyFill="1" applyBorder="1" applyAlignment="1">
      <alignment vertical="center" wrapText="1"/>
    </xf>
    <xf numFmtId="0" fontId="11" fillId="56" borderId="4" xfId="0" applyFont="1" applyFill="1" applyBorder="1" applyAlignment="1">
      <alignment horizontal="left" vertical="center"/>
    </xf>
    <xf numFmtId="0" fontId="6" fillId="56" borderId="84" xfId="0" applyFont="1" applyFill="1" applyBorder="1" applyAlignment="1">
      <alignment horizontal="left" vertical="center"/>
    </xf>
    <xf numFmtId="0" fontId="18" fillId="3" borderId="43" xfId="0" applyFont="1" applyFill="1" applyBorder="1" applyAlignment="1">
      <alignment vertical="center"/>
    </xf>
    <xf numFmtId="0" fontId="18" fillId="3" borderId="128" xfId="0" applyFont="1" applyFill="1" applyBorder="1" applyAlignment="1">
      <alignment vertical="center" wrapText="1"/>
    </xf>
    <xf numFmtId="3" fontId="11" fillId="55" borderId="83" xfId="0" applyNumberFormat="1" applyFont="1" applyFill="1" applyBorder="1" applyAlignment="1">
      <alignment horizontal="left" vertical="center" wrapText="1"/>
    </xf>
    <xf numFmtId="0" fontId="6" fillId="0" borderId="38" xfId="0" applyFont="1" applyBorder="1" applyAlignment="1">
      <alignment vertical="center"/>
    </xf>
    <xf numFmtId="0" fontId="11" fillId="56" borderId="19" xfId="0" applyFont="1" applyFill="1" applyBorder="1" applyAlignment="1">
      <alignment horizontal="left" vertical="center"/>
    </xf>
    <xf numFmtId="0" fontId="6" fillId="3" borderId="0" xfId="0" applyFont="1" applyFill="1" applyAlignment="1">
      <alignment horizontal="center" vertical="center" textRotation="90" wrapText="1"/>
    </xf>
    <xf numFmtId="0" fontId="18" fillId="3" borderId="0" xfId="0" applyFont="1" applyFill="1" applyAlignment="1">
      <alignment horizontal="center" vertical="center" wrapText="1"/>
    </xf>
    <xf numFmtId="0" fontId="6" fillId="3" borderId="128" xfId="0" applyFont="1" applyFill="1" applyBorder="1" applyAlignment="1">
      <alignment horizontal="center" vertical="center"/>
    </xf>
    <xf numFmtId="0" fontId="18" fillId="55" borderId="95" xfId="0" applyFont="1" applyFill="1" applyBorder="1" applyAlignment="1">
      <alignment horizontal="center" vertical="center" wrapText="1"/>
    </xf>
    <xf numFmtId="0" fontId="6" fillId="55" borderId="95" xfId="0" applyFont="1" applyFill="1" applyBorder="1" applyAlignment="1">
      <alignment wrapText="1"/>
    </xf>
    <xf numFmtId="0" fontId="6" fillId="55" borderId="91" xfId="0" applyFont="1" applyFill="1" applyBorder="1" applyAlignment="1">
      <alignment wrapText="1"/>
    </xf>
    <xf numFmtId="0" fontId="6" fillId="55" borderId="216" xfId="0" applyFont="1" applyFill="1" applyBorder="1" applyAlignment="1">
      <alignment wrapText="1"/>
    </xf>
    <xf numFmtId="0" fontId="18" fillId="55" borderId="33" xfId="0" applyFont="1" applyFill="1" applyBorder="1" applyAlignment="1">
      <alignment horizontal="center" vertical="center" wrapText="1"/>
    </xf>
    <xf numFmtId="0" fontId="50" fillId="55" borderId="20" xfId="0" applyFont="1" applyFill="1" applyBorder="1" applyAlignment="1">
      <alignment horizontal="center" vertical="center" wrapText="1"/>
    </xf>
    <xf numFmtId="0" fontId="50" fillId="55" borderId="158" xfId="0" applyFont="1" applyFill="1" applyBorder="1" applyAlignment="1">
      <alignment horizontal="center" vertical="center" wrapText="1"/>
    </xf>
    <xf numFmtId="0" fontId="50" fillId="55" borderId="157" xfId="0" applyFont="1" applyFill="1" applyBorder="1" applyAlignment="1">
      <alignment horizontal="center" vertical="center" wrapText="1"/>
    </xf>
    <xf numFmtId="0" fontId="50" fillId="55" borderId="161" xfId="0" applyFont="1" applyFill="1" applyBorder="1" applyAlignment="1">
      <alignment horizontal="center" vertical="center" wrapText="1"/>
    </xf>
    <xf numFmtId="0" fontId="50" fillId="55" borderId="39" xfId="0" applyFont="1" applyFill="1" applyBorder="1" applyAlignment="1">
      <alignment horizontal="center" vertical="center" wrapText="1"/>
    </xf>
    <xf numFmtId="0" fontId="7" fillId="55" borderId="132" xfId="0" applyFont="1" applyFill="1" applyBorder="1" applyAlignment="1">
      <alignment horizontal="left" vertical="center" wrapText="1"/>
    </xf>
    <xf numFmtId="0" fontId="18" fillId="64" borderId="95" xfId="0" applyFont="1" applyFill="1" applyBorder="1" applyAlignment="1">
      <alignment horizontal="center" vertical="center" wrapText="1"/>
    </xf>
    <xf numFmtId="0" fontId="18" fillId="64" borderId="91" xfId="0" applyFont="1" applyFill="1" applyBorder="1" applyAlignment="1">
      <alignment horizontal="center" vertical="center" wrapText="1"/>
    </xf>
    <xf numFmtId="0" fontId="18" fillId="64" borderId="216" xfId="0" applyFont="1" applyFill="1" applyBorder="1" applyAlignment="1">
      <alignment horizontal="center" vertical="center" wrapText="1"/>
    </xf>
    <xf numFmtId="0" fontId="18" fillId="64" borderId="33" xfId="0" applyFont="1" applyFill="1" applyBorder="1" applyAlignment="1">
      <alignment horizontal="center" vertical="center" wrapText="1"/>
    </xf>
    <xf numFmtId="0" fontId="6" fillId="68" borderId="219" xfId="0" applyFont="1" applyFill="1" applyBorder="1"/>
    <xf numFmtId="0" fontId="6" fillId="68" borderId="159" xfId="0" applyFont="1" applyFill="1" applyBorder="1"/>
    <xf numFmtId="0" fontId="6" fillId="68" borderId="157" xfId="0" applyFont="1" applyFill="1" applyBorder="1"/>
    <xf numFmtId="0" fontId="6" fillId="68" borderId="38" xfId="0" applyFont="1" applyFill="1" applyBorder="1"/>
    <xf numFmtId="0" fontId="6" fillId="68" borderId="104" xfId="0" applyFont="1" applyFill="1" applyBorder="1"/>
    <xf numFmtId="0" fontId="6" fillId="68" borderId="161" xfId="0" applyFont="1" applyFill="1" applyBorder="1"/>
    <xf numFmtId="0" fontId="11" fillId="55" borderId="103" xfId="0" applyFont="1" applyFill="1" applyBorder="1" applyAlignment="1">
      <alignment vertical="center" wrapText="1"/>
    </xf>
    <xf numFmtId="0" fontId="6" fillId="0" borderId="210" xfId="0" applyFont="1" applyBorder="1" applyAlignment="1">
      <alignment vertical="center" wrapText="1"/>
    </xf>
    <xf numFmtId="0" fontId="6" fillId="0" borderId="213" xfId="0" applyFont="1" applyBorder="1" applyAlignment="1">
      <alignment vertical="center" wrapText="1"/>
    </xf>
    <xf numFmtId="0" fontId="6" fillId="0" borderId="351" xfId="0" applyFont="1" applyBorder="1" applyAlignment="1">
      <alignment horizontal="center" vertical="center" wrapText="1"/>
    </xf>
    <xf numFmtId="0" fontId="6" fillId="0" borderId="352" xfId="0" applyFont="1" applyBorder="1" applyAlignment="1">
      <alignment horizontal="center" vertical="center" wrapText="1"/>
    </xf>
    <xf numFmtId="0" fontId="6" fillId="0" borderId="353" xfId="0" applyFont="1" applyBorder="1" applyAlignment="1">
      <alignment horizontal="center" vertical="center" wrapText="1"/>
    </xf>
    <xf numFmtId="0" fontId="6" fillId="0" borderId="103" xfId="0" applyFont="1" applyBorder="1" applyAlignment="1">
      <alignment horizontal="center" vertical="center" wrapText="1"/>
    </xf>
    <xf numFmtId="0" fontId="6" fillId="0" borderId="354" xfId="0" applyFont="1" applyBorder="1" applyAlignment="1">
      <alignment horizontal="center" vertical="center" wrapText="1"/>
    </xf>
    <xf numFmtId="0" fontId="6" fillId="0" borderId="355" xfId="0" applyFont="1" applyBorder="1" applyAlignment="1">
      <alignment horizontal="center" vertical="center" wrapText="1"/>
    </xf>
    <xf numFmtId="0" fontId="11" fillId="55" borderId="98" xfId="0" applyFont="1" applyFill="1" applyBorder="1" applyAlignment="1">
      <alignment horizontal="left" vertical="center" wrapText="1" indent="1"/>
    </xf>
    <xf numFmtId="0" fontId="6" fillId="0" borderId="342" xfId="0" applyFont="1" applyBorder="1" applyAlignment="1">
      <alignment horizontal="center" vertical="center" wrapText="1"/>
    </xf>
    <xf numFmtId="0" fontId="6" fillId="0" borderId="344" xfId="0" applyFont="1" applyBorder="1" applyAlignment="1">
      <alignment horizontal="center" vertical="center" wrapText="1"/>
    </xf>
    <xf numFmtId="0" fontId="6" fillId="0" borderId="340" xfId="0" applyFont="1" applyBorder="1" applyAlignment="1">
      <alignment horizontal="center" vertical="center" wrapText="1"/>
    </xf>
    <xf numFmtId="0" fontId="6" fillId="0" borderId="98" xfId="0" applyFont="1" applyBorder="1" applyAlignment="1">
      <alignment horizontal="center" vertical="center" wrapText="1"/>
    </xf>
    <xf numFmtId="0" fontId="6" fillId="0" borderId="207" xfId="0" applyFont="1" applyBorder="1" applyAlignment="1">
      <alignment horizontal="center" vertical="center" wrapText="1"/>
    </xf>
    <xf numFmtId="0" fontId="6" fillId="0" borderId="345" xfId="0" applyFont="1" applyBorder="1" applyAlignment="1">
      <alignment horizontal="center" vertical="center" wrapText="1"/>
    </xf>
    <xf numFmtId="49" fontId="6" fillId="3" borderId="345" xfId="0" applyNumberFormat="1" applyFont="1" applyFill="1" applyBorder="1" applyAlignment="1">
      <alignment horizontal="center" vertical="center" wrapText="1"/>
    </xf>
    <xf numFmtId="49" fontId="6" fillId="3" borderId="207" xfId="0" applyNumberFormat="1" applyFont="1" applyFill="1" applyBorder="1" applyAlignment="1">
      <alignment horizontal="center" vertical="center" wrapText="1"/>
    </xf>
    <xf numFmtId="0" fontId="11" fillId="55" borderId="102" xfId="0" applyFont="1" applyFill="1" applyBorder="1" applyAlignment="1">
      <alignment horizontal="left" vertical="center" wrapText="1" indent="1"/>
    </xf>
    <xf numFmtId="0" fontId="6" fillId="0" borderId="44" xfId="0" applyFont="1" applyBorder="1" applyAlignment="1">
      <alignment vertical="center" wrapText="1"/>
    </xf>
    <xf numFmtId="0" fontId="6" fillId="0" borderId="211" xfId="0" applyFont="1" applyBorder="1" applyAlignment="1">
      <alignment vertical="center" wrapText="1"/>
    </xf>
    <xf numFmtId="0" fontId="6" fillId="0" borderId="214" xfId="0" applyFont="1" applyBorder="1" applyAlignment="1">
      <alignment vertical="center" wrapText="1"/>
    </xf>
    <xf numFmtId="0" fontId="6" fillId="0" borderId="208" xfId="0" applyFont="1" applyBorder="1" applyAlignment="1">
      <alignment vertical="center" wrapText="1"/>
    </xf>
    <xf numFmtId="0" fontId="6" fillId="0" borderId="339" xfId="0" applyFont="1" applyBorder="1" applyAlignment="1">
      <alignment horizontal="center" vertical="center" wrapText="1"/>
    </xf>
    <xf numFmtId="0" fontId="6" fillId="0" borderId="343" xfId="0" applyFont="1" applyBorder="1" applyAlignment="1">
      <alignment horizontal="center" vertical="center" wrapText="1"/>
    </xf>
    <xf numFmtId="0" fontId="6" fillId="0" borderId="341" xfId="0" applyFont="1" applyBorder="1" applyAlignment="1">
      <alignment horizontal="center" vertical="center" wrapText="1"/>
    </xf>
    <xf numFmtId="0" fontId="6" fillId="0" borderId="96" xfId="0" applyFont="1" applyBorder="1" applyAlignment="1">
      <alignment horizontal="center" vertical="center" wrapText="1"/>
    </xf>
    <xf numFmtId="0" fontId="6" fillId="0" borderId="208" xfId="0" applyFont="1" applyBorder="1" applyAlignment="1">
      <alignment horizontal="center" vertical="center" wrapText="1"/>
    </xf>
    <xf numFmtId="0" fontId="6" fillId="0" borderId="356" xfId="0" applyFont="1" applyBorder="1" applyAlignment="1">
      <alignment horizontal="center" vertical="center" wrapText="1"/>
    </xf>
    <xf numFmtId="0" fontId="50" fillId="55" borderId="38" xfId="0" applyFont="1" applyFill="1" applyBorder="1" applyAlignment="1">
      <alignment horizontal="left" vertical="center" wrapText="1"/>
    </xf>
    <xf numFmtId="0" fontId="6" fillId="65" borderId="127" xfId="0" applyFont="1" applyFill="1" applyBorder="1" applyAlignment="1">
      <alignment vertical="center" wrapText="1"/>
    </xf>
    <xf numFmtId="0" fontId="6" fillId="65" borderId="131" xfId="0" applyFont="1" applyFill="1" applyBorder="1" applyAlignment="1">
      <alignment vertical="center" wrapText="1"/>
    </xf>
    <xf numFmtId="0" fontId="6" fillId="65" borderId="41" xfId="0" applyFont="1" applyFill="1" applyBorder="1" applyAlignment="1">
      <alignment vertical="center" wrapText="1"/>
    </xf>
    <xf numFmtId="0" fontId="6" fillId="65" borderId="224" xfId="0" applyFont="1" applyFill="1" applyBorder="1" applyAlignment="1">
      <alignment vertical="center" wrapText="1"/>
    </xf>
    <xf numFmtId="0" fontId="6" fillId="68" borderId="158" xfId="0" applyFont="1" applyFill="1" applyBorder="1"/>
    <xf numFmtId="0" fontId="6" fillId="68" borderId="39" xfId="0" applyFont="1" applyFill="1" applyBorder="1"/>
    <xf numFmtId="0" fontId="11" fillId="55" borderId="100" xfId="0" applyFont="1" applyFill="1" applyBorder="1" applyAlignment="1">
      <alignment horizontal="left" vertical="center" wrapText="1"/>
    </xf>
    <xf numFmtId="0" fontId="6" fillId="0" borderId="51" xfId="0" applyFont="1" applyBorder="1" applyAlignment="1">
      <alignment vertical="center" wrapText="1"/>
    </xf>
    <xf numFmtId="0" fontId="6" fillId="0" borderId="212" xfId="0" applyFont="1" applyBorder="1" applyAlignment="1">
      <alignment vertical="center" wrapText="1"/>
    </xf>
    <xf numFmtId="0" fontId="6" fillId="0" borderId="216" xfId="0" applyFont="1" applyBorder="1" applyAlignment="1">
      <alignment vertical="center" wrapText="1"/>
    </xf>
    <xf numFmtId="0" fontId="6" fillId="0" borderId="209" xfId="0" applyFont="1" applyBorder="1" applyAlignment="1">
      <alignment vertical="center" wrapText="1"/>
    </xf>
    <xf numFmtId="0" fontId="6" fillId="0" borderId="350" xfId="0" applyFont="1" applyBorder="1" applyAlignment="1">
      <alignment horizontal="center" vertical="center" wrapText="1"/>
    </xf>
    <xf numFmtId="0" fontId="6" fillId="0" borderId="346" xfId="0" applyFont="1" applyBorder="1" applyAlignment="1">
      <alignment horizontal="center" vertical="center" wrapText="1"/>
    </xf>
    <xf numFmtId="0" fontId="6" fillId="0" borderId="338" xfId="0" applyFont="1" applyBorder="1" applyAlignment="1">
      <alignment horizontal="center" vertical="center" wrapText="1"/>
    </xf>
    <xf numFmtId="0" fontId="6" fillId="0" borderId="100" xfId="0" applyFont="1" applyBorder="1" applyAlignment="1">
      <alignment horizontal="center" vertical="center" wrapText="1"/>
    </xf>
    <xf numFmtId="0" fontId="6" fillId="0" borderId="209" xfId="0" applyFont="1" applyBorder="1" applyAlignment="1">
      <alignment horizontal="center" vertical="center" wrapText="1"/>
    </xf>
    <xf numFmtId="0" fontId="6" fillId="3" borderId="100" xfId="0" applyFont="1" applyFill="1" applyBorder="1" applyAlignment="1">
      <alignment horizontal="center" vertical="center" wrapText="1"/>
    </xf>
    <xf numFmtId="0" fontId="6" fillId="0" borderId="348" xfId="0" applyFont="1" applyBorder="1" applyAlignment="1">
      <alignment horizontal="center" vertical="center" wrapText="1"/>
    </xf>
    <xf numFmtId="0" fontId="6" fillId="0" borderId="213" xfId="0" applyFont="1" applyBorder="1" applyAlignment="1">
      <alignment vertical="top" wrapText="1"/>
    </xf>
    <xf numFmtId="0" fontId="6" fillId="0" borderId="340" xfId="0" applyFont="1" applyBorder="1" applyAlignment="1">
      <alignment horizontal="center" vertical="top" wrapText="1"/>
    </xf>
    <xf numFmtId="0" fontId="6" fillId="0" borderId="207" xfId="0" applyFont="1" applyBorder="1" applyAlignment="1">
      <alignment horizontal="center" vertical="top" wrapText="1"/>
    </xf>
    <xf numFmtId="0" fontId="11" fillId="55" borderId="98" xfId="0" applyFont="1" applyFill="1" applyBorder="1" applyAlignment="1">
      <alignment horizontal="left" vertical="center" wrapText="1"/>
    </xf>
    <xf numFmtId="0" fontId="11" fillId="55" borderId="96" xfId="0" applyFont="1" applyFill="1" applyBorder="1" applyAlignment="1">
      <alignment horizontal="left" vertical="center" wrapText="1" indent="1"/>
    </xf>
    <xf numFmtId="0" fontId="6" fillId="0" borderId="347" xfId="0" applyFont="1" applyBorder="1" applyAlignment="1">
      <alignment horizontal="center" vertical="center" wrapText="1"/>
    </xf>
    <xf numFmtId="0" fontId="50" fillId="55" borderId="132" xfId="0" applyFont="1" applyFill="1" applyBorder="1" applyAlignment="1">
      <alignment horizontal="left" vertical="center" wrapText="1"/>
    </xf>
    <xf numFmtId="0" fontId="6" fillId="64" borderId="127" xfId="0" applyFont="1" applyFill="1" applyBorder="1" applyAlignment="1">
      <alignment vertical="center" wrapText="1"/>
    </xf>
    <xf numFmtId="0" fontId="6" fillId="64" borderId="131" xfId="0" applyFont="1" applyFill="1" applyBorder="1" applyAlignment="1">
      <alignment vertical="center" wrapText="1"/>
    </xf>
    <xf numFmtId="0" fontId="6" fillId="64" borderId="41" xfId="0" applyFont="1" applyFill="1" applyBorder="1" applyAlignment="1">
      <alignment vertical="center" wrapText="1"/>
    </xf>
    <xf numFmtId="0" fontId="6" fillId="64" borderId="224" xfId="0" applyFont="1" applyFill="1" applyBorder="1" applyAlignment="1">
      <alignment vertical="center" wrapText="1"/>
    </xf>
    <xf numFmtId="0" fontId="11" fillId="55" borderId="51" xfId="0" applyFont="1" applyFill="1" applyBorder="1" applyAlignment="1">
      <alignment horizontal="left" vertical="center" wrapText="1"/>
    </xf>
    <xf numFmtId="0" fontId="6" fillId="0" borderId="215" xfId="0" applyFont="1" applyBorder="1" applyAlignment="1">
      <alignment vertical="center" wrapText="1"/>
    </xf>
    <xf numFmtId="0" fontId="6" fillId="0" borderId="217" xfId="0" applyFont="1" applyBorder="1" applyAlignment="1">
      <alignment vertical="center" wrapText="1"/>
    </xf>
    <xf numFmtId="0" fontId="11" fillId="55" borderId="102" xfId="0" applyFont="1" applyFill="1" applyBorder="1" applyAlignment="1">
      <alignment horizontal="left" vertical="center" wrapText="1"/>
    </xf>
    <xf numFmtId="0" fontId="6" fillId="55" borderId="98" xfId="0" applyFont="1" applyFill="1" applyBorder="1" applyAlignment="1">
      <alignment horizontal="left" wrapText="1" indent="1"/>
    </xf>
    <xf numFmtId="0" fontId="6" fillId="55" borderId="96" xfId="0" applyFont="1" applyFill="1" applyBorder="1" applyAlignment="1">
      <alignment horizontal="left" wrapText="1" indent="1"/>
    </xf>
    <xf numFmtId="0" fontId="6" fillId="0" borderId="349" xfId="0" applyFont="1" applyBorder="1" applyAlignment="1">
      <alignment horizontal="center" vertical="center" wrapText="1"/>
    </xf>
    <xf numFmtId="0" fontId="6" fillId="56" borderId="19" xfId="0" applyFont="1" applyFill="1" applyBorder="1" applyAlignment="1">
      <alignment horizontal="left" vertical="center"/>
    </xf>
    <xf numFmtId="0" fontId="11" fillId="56" borderId="89" xfId="0" applyFont="1" applyFill="1" applyBorder="1" applyAlignment="1">
      <alignment horizontal="left" vertical="center"/>
    </xf>
    <xf numFmtId="0" fontId="11" fillId="56" borderId="84" xfId="0" applyFont="1" applyFill="1" applyBorder="1" applyAlignment="1">
      <alignment horizontal="left" vertical="center"/>
    </xf>
    <xf numFmtId="170" fontId="6" fillId="3" borderId="1" xfId="0" applyNumberFormat="1" applyFont="1" applyFill="1" applyBorder="1" applyAlignment="1">
      <alignment horizontal="center" vertical="center"/>
    </xf>
    <xf numFmtId="2" fontId="6" fillId="3" borderId="1" xfId="0" applyNumberFormat="1" applyFont="1" applyFill="1" applyBorder="1" applyAlignment="1">
      <alignment horizontal="center" vertical="center"/>
    </xf>
    <xf numFmtId="0" fontId="6" fillId="3" borderId="3" xfId="0" applyFont="1" applyFill="1" applyBorder="1" applyAlignment="1">
      <alignment horizontal="center" vertical="center"/>
    </xf>
    <xf numFmtId="0" fontId="26" fillId="0" borderId="3" xfId="0" applyFont="1" applyBorder="1" applyAlignment="1">
      <alignment horizontal="center" vertical="center"/>
    </xf>
    <xf numFmtId="0" fontId="26" fillId="0" borderId="1" xfId="0" applyFont="1" applyBorder="1" applyAlignment="1">
      <alignment horizontal="center" vertical="center"/>
    </xf>
    <xf numFmtId="172" fontId="6" fillId="3" borderId="3" xfId="0" applyNumberFormat="1" applyFont="1" applyFill="1" applyBorder="1" applyAlignment="1">
      <alignment horizontal="center" vertical="center"/>
    </xf>
    <xf numFmtId="0" fontId="26" fillId="0" borderId="37" xfId="0" applyFont="1" applyBorder="1" applyAlignment="1">
      <alignment horizontal="center" vertical="center" wrapText="1"/>
    </xf>
    <xf numFmtId="0" fontId="26" fillId="0" borderId="34" xfId="0" applyFont="1" applyBorder="1" applyAlignment="1">
      <alignment horizontal="center" vertical="center" wrapText="1"/>
    </xf>
    <xf numFmtId="0" fontId="6" fillId="0" borderId="34" xfId="0" applyFont="1" applyBorder="1" applyAlignment="1">
      <alignment horizontal="center" vertical="center"/>
    </xf>
    <xf numFmtId="172" fontId="6" fillId="3" borderId="6" xfId="0" applyNumberFormat="1" applyFont="1" applyFill="1" applyBorder="1" applyAlignment="1">
      <alignment horizontal="center" vertical="center"/>
    </xf>
    <xf numFmtId="172" fontId="6" fillId="3" borderId="28" xfId="0" applyNumberFormat="1" applyFont="1" applyFill="1" applyBorder="1" applyAlignment="1">
      <alignment horizontal="center" vertical="center"/>
    </xf>
    <xf numFmtId="172" fontId="6" fillId="3" borderId="80" xfId="0" applyNumberFormat="1" applyFont="1" applyFill="1" applyBorder="1" applyAlignment="1">
      <alignment horizontal="center" vertical="center"/>
    </xf>
    <xf numFmtId="170" fontId="6" fillId="3" borderId="3" xfId="0" applyNumberFormat="1" applyFont="1" applyFill="1" applyBorder="1" applyAlignment="1">
      <alignment horizontal="center" vertical="center"/>
    </xf>
    <xf numFmtId="174" fontId="6" fillId="3" borderId="398" xfId="0" applyNumberFormat="1" applyFont="1" applyFill="1" applyBorder="1" applyAlignment="1">
      <alignment horizontal="center" vertical="center"/>
    </xf>
    <xf numFmtId="174" fontId="6" fillId="0" borderId="1" xfId="0" applyNumberFormat="1" applyFont="1" applyBorder="1" applyAlignment="1">
      <alignment horizontal="center" wrapText="1"/>
    </xf>
    <xf numFmtId="174" fontId="6" fillId="3" borderId="28" xfId="0" applyNumberFormat="1" applyFont="1" applyFill="1" applyBorder="1" applyAlignment="1">
      <alignment horizontal="center" vertical="center"/>
    </xf>
    <xf numFmtId="0" fontId="6" fillId="3" borderId="3" xfId="0" quotePrefix="1" applyFont="1" applyFill="1" applyBorder="1" applyAlignment="1">
      <alignment horizontal="center" vertical="center"/>
    </xf>
    <xf numFmtId="0" fontId="6" fillId="3" borderId="1" xfId="0" quotePrefix="1" applyFont="1" applyFill="1" applyBorder="1" applyAlignment="1">
      <alignment horizontal="center" vertical="center"/>
    </xf>
    <xf numFmtId="0" fontId="26" fillId="3" borderId="1" xfId="0" applyFont="1" applyFill="1" applyBorder="1" applyAlignment="1">
      <alignment horizontal="center" vertical="center"/>
    </xf>
    <xf numFmtId="172" fontId="26" fillId="0" borderId="1" xfId="0" applyNumberFormat="1" applyFont="1" applyBorder="1" applyAlignment="1">
      <alignment horizontal="center" vertical="center"/>
    </xf>
    <xf numFmtId="172" fontId="26" fillId="3" borderId="1" xfId="0" applyNumberFormat="1" applyFont="1" applyFill="1" applyBorder="1" applyAlignment="1">
      <alignment horizontal="center" vertical="center"/>
    </xf>
    <xf numFmtId="0" fontId="26" fillId="0" borderId="11" xfId="0" applyFont="1" applyBorder="1" applyAlignment="1">
      <alignment horizontal="center" vertical="center" wrapText="1"/>
    </xf>
    <xf numFmtId="172" fontId="6" fillId="3" borderId="4" xfId="0" applyNumberFormat="1" applyFont="1" applyFill="1" applyBorder="1" applyAlignment="1">
      <alignment horizontal="center" vertical="center"/>
    </xf>
    <xf numFmtId="172" fontId="6" fillId="3" borderId="7" xfId="0" applyNumberFormat="1" applyFont="1" applyFill="1" applyBorder="1" applyAlignment="1">
      <alignment horizontal="center" vertical="center"/>
    </xf>
    <xf numFmtId="172" fontId="11" fillId="3" borderId="5" xfId="0" applyNumberFormat="1" applyFont="1" applyFill="1" applyBorder="1" applyAlignment="1">
      <alignment horizontal="center" vertical="center"/>
    </xf>
    <xf numFmtId="172" fontId="11" fillId="0" borderId="5" xfId="0" applyNumberFormat="1" applyFont="1" applyBorder="1" applyAlignment="1">
      <alignment horizontal="center" vertical="center"/>
    </xf>
    <xf numFmtId="0" fontId="6" fillId="3" borderId="6" xfId="0" applyFont="1" applyFill="1" applyBorder="1" applyAlignment="1">
      <alignment horizontal="center" vertical="center"/>
    </xf>
    <xf numFmtId="170" fontId="11" fillId="0" borderId="28" xfId="0" applyNumberFormat="1" applyFont="1" applyBorder="1" applyAlignment="1">
      <alignment horizontal="center"/>
    </xf>
    <xf numFmtId="170" fontId="11" fillId="0" borderId="1" xfId="0" applyNumberFormat="1" applyFont="1" applyBorder="1" applyAlignment="1">
      <alignment horizontal="center"/>
    </xf>
    <xf numFmtId="0" fontId="11" fillId="0" borderId="28" xfId="0" applyFont="1" applyBorder="1" applyAlignment="1">
      <alignment horizontal="center"/>
    </xf>
    <xf numFmtId="174" fontId="11" fillId="0" borderId="28" xfId="0" applyNumberFormat="1" applyFont="1" applyBorder="1" applyAlignment="1">
      <alignment horizontal="center"/>
    </xf>
    <xf numFmtId="1" fontId="6" fillId="3" borderId="3" xfId="0" applyNumberFormat="1" applyFont="1" applyFill="1" applyBorder="1" applyAlignment="1">
      <alignment horizontal="center" vertical="center"/>
    </xf>
    <xf numFmtId="174" fontId="26" fillId="0" borderId="28" xfId="0" applyNumberFormat="1" applyFont="1" applyBorder="1" applyAlignment="1">
      <alignment horizontal="center"/>
    </xf>
    <xf numFmtId="172" fontId="26" fillId="0" borderId="28" xfId="0" applyNumberFormat="1" applyFont="1" applyBorder="1" applyAlignment="1">
      <alignment horizontal="center"/>
    </xf>
    <xf numFmtId="0" fontId="26" fillId="0" borderId="28" xfId="0" applyFont="1" applyBorder="1" applyAlignment="1">
      <alignment horizontal="center"/>
    </xf>
    <xf numFmtId="0" fontId="6" fillId="3" borderId="34" xfId="0" applyFont="1" applyFill="1" applyBorder="1" applyAlignment="1">
      <alignment horizontal="center" vertical="center"/>
    </xf>
    <xf numFmtId="0" fontId="6" fillId="3" borderId="53" xfId="0" applyFont="1" applyFill="1" applyBorder="1" applyAlignment="1">
      <alignment horizontal="center" vertical="center"/>
    </xf>
    <xf numFmtId="0" fontId="26" fillId="0" borderId="160" xfId="0" applyFont="1" applyBorder="1" applyAlignment="1">
      <alignment horizontal="center"/>
    </xf>
    <xf numFmtId="172" fontId="144" fillId="54" borderId="6" xfId="0" applyNumberFormat="1" applyFont="1" applyFill="1" applyBorder="1" applyAlignment="1">
      <alignment horizontal="center" vertical="center"/>
    </xf>
    <xf numFmtId="172" fontId="144" fillId="54" borderId="5" xfId="0" applyNumberFormat="1" applyFont="1" applyFill="1" applyBorder="1" applyAlignment="1">
      <alignment horizontal="center" vertical="center"/>
    </xf>
    <xf numFmtId="172" fontId="144" fillId="54" borderId="55" xfId="0" applyNumberFormat="1" applyFont="1" applyFill="1" applyBorder="1" applyAlignment="1">
      <alignment horizontal="center" vertical="center"/>
    </xf>
    <xf numFmtId="172" fontId="144" fillId="54" borderId="28" xfId="0" applyNumberFormat="1" applyFont="1" applyFill="1" applyBorder="1" applyAlignment="1">
      <alignment horizontal="center" vertical="center"/>
    </xf>
    <xf numFmtId="172" fontId="144" fillId="54" borderId="65" xfId="0" applyNumberFormat="1" applyFont="1" applyFill="1" applyBorder="1" applyAlignment="1">
      <alignment horizontal="center" vertical="center"/>
    </xf>
    <xf numFmtId="170" fontId="144" fillId="54" borderId="87" xfId="0" applyNumberFormat="1" applyFont="1" applyFill="1" applyBorder="1" applyAlignment="1">
      <alignment horizontal="center" vertical="center"/>
    </xf>
    <xf numFmtId="174" fontId="144" fillId="54" borderId="11" xfId="0" applyNumberFormat="1" applyFont="1" applyFill="1" applyBorder="1" applyAlignment="1">
      <alignment horizontal="center" vertical="center"/>
    </xf>
    <xf numFmtId="174" fontId="144" fillId="54" borderId="8" xfId="0" applyNumberFormat="1" applyFont="1" applyFill="1" applyBorder="1" applyAlignment="1">
      <alignment horizontal="center" vertical="center"/>
    </xf>
    <xf numFmtId="174" fontId="144" fillId="54" borderId="69" xfId="0" applyNumberFormat="1" applyFont="1" applyFill="1" applyBorder="1" applyAlignment="1">
      <alignment horizontal="center" vertical="center"/>
    </xf>
    <xf numFmtId="174" fontId="144" fillId="54" borderId="3" xfId="0" applyNumberFormat="1" applyFont="1" applyFill="1" applyBorder="1" applyAlignment="1">
      <alignment horizontal="center" vertical="center"/>
    </xf>
    <xf numFmtId="174" fontId="144" fillId="54" borderId="19" xfId="0" applyNumberFormat="1" applyFont="1" applyFill="1" applyBorder="1" applyAlignment="1">
      <alignment horizontal="center" vertical="center"/>
    </xf>
    <xf numFmtId="174" fontId="144" fillId="54" borderId="1" xfId="0" applyNumberFormat="1" applyFont="1" applyFill="1" applyBorder="1" applyAlignment="1">
      <alignment horizontal="center" vertical="center"/>
    </xf>
    <xf numFmtId="174" fontId="144" fillId="54" borderId="61" xfId="0" applyNumberFormat="1" applyFont="1" applyFill="1" applyBorder="1" applyAlignment="1">
      <alignment horizontal="center" vertical="center"/>
    </xf>
    <xf numFmtId="9" fontId="144" fillId="54" borderId="3" xfId="0" applyNumberFormat="1" applyFont="1" applyFill="1" applyBorder="1" applyAlignment="1">
      <alignment horizontal="center" vertical="center"/>
    </xf>
    <xf numFmtId="0" fontId="144" fillId="54" borderId="1" xfId="0" applyFont="1" applyFill="1" applyBorder="1" applyAlignment="1">
      <alignment horizontal="center" vertical="center"/>
    </xf>
    <xf numFmtId="174" fontId="144" fillId="54" borderId="18" xfId="0" applyNumberFormat="1" applyFont="1" applyFill="1" applyBorder="1" applyAlignment="1">
      <alignment horizontal="center" vertical="center"/>
    </xf>
    <xf numFmtId="174" fontId="144" fillId="54" borderId="76" xfId="0" applyNumberFormat="1" applyFont="1" applyFill="1" applyBorder="1" applyAlignment="1">
      <alignment horizontal="center" vertical="center"/>
    </xf>
    <xf numFmtId="170" fontId="144" fillId="54" borderId="1" xfId="0" applyNumberFormat="1" applyFont="1" applyFill="1" applyBorder="1" applyAlignment="1">
      <alignment horizontal="center" vertical="center"/>
    </xf>
    <xf numFmtId="172" fontId="144" fillId="54" borderId="19" xfId="0" applyNumberFormat="1" applyFont="1" applyFill="1" applyBorder="1" applyAlignment="1">
      <alignment horizontal="center" vertical="center"/>
    </xf>
    <xf numFmtId="172" fontId="144" fillId="54" borderId="3" xfId="0" applyNumberFormat="1" applyFont="1" applyFill="1" applyBorder="1" applyAlignment="1">
      <alignment horizontal="center" vertical="center"/>
    </xf>
    <xf numFmtId="172" fontId="144" fillId="54" borderId="1" xfId="0" applyNumberFormat="1" applyFont="1" applyFill="1" applyBorder="1" applyAlignment="1">
      <alignment horizontal="center" vertical="center"/>
    </xf>
    <xf numFmtId="0" fontId="6" fillId="56" borderId="132" xfId="0" applyFont="1" applyFill="1" applyBorder="1" applyAlignment="1">
      <alignment horizontal="left"/>
    </xf>
    <xf numFmtId="0" fontId="11" fillId="56" borderId="161" xfId="0" applyFont="1" applyFill="1" applyBorder="1" applyAlignment="1">
      <alignment horizontal="left" vertical="center" wrapText="1"/>
    </xf>
    <xf numFmtId="0" fontId="11" fillId="56" borderId="38" xfId="0" applyFont="1" applyFill="1" applyBorder="1" applyAlignment="1">
      <alignment horizontal="center" vertical="center"/>
    </xf>
    <xf numFmtId="0" fontId="11" fillId="56" borderId="104" xfId="0" applyFont="1" applyFill="1" applyBorder="1" applyAlignment="1">
      <alignment horizontal="center" vertical="center"/>
    </xf>
    <xf numFmtId="0" fontId="11" fillId="56" borderId="158" xfId="0" applyFont="1" applyFill="1" applyBorder="1" applyAlignment="1">
      <alignment horizontal="center" vertical="center"/>
    </xf>
    <xf numFmtId="0" fontId="11" fillId="56" borderId="159" xfId="0" applyFont="1" applyFill="1" applyBorder="1" applyAlignment="1">
      <alignment horizontal="center" vertical="center"/>
    </xf>
    <xf numFmtId="0" fontId="11" fillId="56" borderId="39" xfId="0" applyFont="1" applyFill="1" applyBorder="1" applyAlignment="1">
      <alignment horizontal="center" vertical="center"/>
    </xf>
    <xf numFmtId="1" fontId="26" fillId="54" borderId="37" xfId="0" applyNumberFormat="1" applyFont="1" applyFill="1" applyBorder="1" applyAlignment="1">
      <alignment horizontal="center" vertical="center" wrapText="1"/>
    </xf>
    <xf numFmtId="1" fontId="147" fillId="54" borderId="93" xfId="0" applyNumberFormat="1" applyFont="1" applyFill="1" applyBorder="1" applyAlignment="1">
      <alignment horizontal="center" vertical="center"/>
    </xf>
    <xf numFmtId="0" fontId="44" fillId="0" borderId="60" xfId="0" applyFont="1" applyBorder="1" applyAlignment="1">
      <alignment vertical="center" wrapText="1"/>
    </xf>
    <xf numFmtId="0" fontId="6" fillId="55" borderId="165" xfId="0" applyFont="1" applyFill="1" applyBorder="1" applyAlignment="1">
      <alignment vertical="center" wrapText="1"/>
    </xf>
    <xf numFmtId="172" fontId="6" fillId="0" borderId="0" xfId="0" applyNumberFormat="1" applyFont="1" applyAlignment="1">
      <alignment horizontal="center" vertical="center"/>
    </xf>
    <xf numFmtId="172" fontId="6" fillId="0" borderId="72" xfId="0" applyNumberFormat="1" applyFont="1" applyBorder="1" applyAlignment="1">
      <alignment horizontal="center" vertical="center"/>
    </xf>
    <xf numFmtId="172" fontId="6" fillId="0" borderId="105" xfId="0" applyNumberFormat="1" applyFont="1" applyBorder="1" applyAlignment="1">
      <alignment horizontal="center" vertical="center"/>
    </xf>
    <xf numFmtId="172" fontId="6" fillId="0" borderId="10" xfId="0" applyNumberFormat="1" applyFont="1" applyBorder="1" applyAlignment="1">
      <alignment horizontal="center"/>
    </xf>
    <xf numFmtId="172" fontId="6" fillId="0" borderId="0" xfId="0" applyNumberFormat="1" applyFont="1" applyAlignment="1">
      <alignment horizontal="center"/>
    </xf>
    <xf numFmtId="172" fontId="6" fillId="0" borderId="105" xfId="0" applyNumberFormat="1" applyFont="1" applyBorder="1" applyAlignment="1">
      <alignment horizontal="center"/>
    </xf>
    <xf numFmtId="172" fontId="6" fillId="0" borderId="73" xfId="0" applyNumberFormat="1" applyFont="1" applyBorder="1" applyAlignment="1">
      <alignment horizontal="center"/>
    </xf>
    <xf numFmtId="172" fontId="6" fillId="4" borderId="72" xfId="0" applyNumberFormat="1" applyFont="1" applyFill="1" applyBorder="1" applyAlignment="1">
      <alignment horizontal="center"/>
    </xf>
    <xf numFmtId="172" fontId="6" fillId="4" borderId="73" xfId="0" applyNumberFormat="1" applyFont="1" applyFill="1" applyBorder="1" applyAlignment="1">
      <alignment horizontal="center"/>
    </xf>
    <xf numFmtId="172" fontId="6" fillId="0" borderId="186" xfId="0" applyNumberFormat="1" applyFont="1" applyBorder="1" applyAlignment="1">
      <alignment horizontal="center"/>
    </xf>
    <xf numFmtId="172" fontId="7" fillId="0" borderId="186" xfId="0" applyNumberFormat="1" applyFont="1" applyBorder="1" applyAlignment="1">
      <alignment horizontal="center"/>
    </xf>
    <xf numFmtId="172" fontId="7" fillId="0" borderId="0" xfId="0" applyNumberFormat="1" applyFont="1" applyAlignment="1">
      <alignment horizontal="center"/>
    </xf>
    <xf numFmtId="172" fontId="6" fillId="0" borderId="70" xfId="0" applyNumberFormat="1" applyFont="1" applyBorder="1" applyAlignment="1">
      <alignment horizontal="center"/>
    </xf>
    <xf numFmtId="0" fontId="6" fillId="55" borderId="13" xfId="0" applyFont="1" applyFill="1" applyBorder="1" applyAlignment="1">
      <alignment horizontal="left" vertical="center"/>
    </xf>
    <xf numFmtId="0" fontId="6" fillId="0" borderId="187" xfId="0" applyFont="1" applyBorder="1"/>
    <xf numFmtId="0" fontId="6" fillId="0" borderId="107" xfId="0" applyFont="1" applyBorder="1"/>
    <xf numFmtId="174" fontId="6" fillId="0" borderId="6" xfId="0" applyNumberFormat="1" applyFont="1" applyBorder="1" applyAlignment="1">
      <alignment horizontal="center" vertical="center" wrapText="1"/>
    </xf>
    <xf numFmtId="174" fontId="6" fillId="0" borderId="28" xfId="0" applyNumberFormat="1" applyFont="1" applyBorder="1" applyAlignment="1">
      <alignment horizontal="center" vertical="center" wrapText="1"/>
    </xf>
    <xf numFmtId="174" fontId="21" fillId="6" borderId="12" xfId="0" applyNumberFormat="1" applyFont="1" applyFill="1" applyBorder="1" applyAlignment="1">
      <alignment horizontal="center" vertical="center" wrapText="1"/>
    </xf>
    <xf numFmtId="174" fontId="6" fillId="0" borderId="89" xfId="0" applyNumberFormat="1" applyFont="1" applyBorder="1" applyAlignment="1">
      <alignment horizontal="center" vertical="center" wrapText="1"/>
    </xf>
    <xf numFmtId="174" fontId="21" fillId="54" borderId="42" xfId="0" applyNumberFormat="1" applyFont="1" applyFill="1" applyBorder="1" applyAlignment="1">
      <alignment horizontal="center" vertical="center" wrapText="1"/>
    </xf>
    <xf numFmtId="174" fontId="6" fillId="0" borderId="4" xfId="0" applyNumberFormat="1" applyFont="1" applyBorder="1" applyAlignment="1">
      <alignment horizontal="center" vertical="center" wrapText="1"/>
    </xf>
    <xf numFmtId="174" fontId="6" fillId="0" borderId="5" xfId="0" applyNumberFormat="1" applyFont="1" applyBorder="1" applyAlignment="1">
      <alignment horizontal="center" vertical="center" wrapText="1"/>
    </xf>
    <xf numFmtId="174" fontId="21" fillId="54" borderId="40" xfId="0" applyNumberFormat="1" applyFont="1" applyFill="1" applyBorder="1" applyAlignment="1">
      <alignment horizontal="center" vertical="center" wrapText="1"/>
    </xf>
    <xf numFmtId="0" fontId="6" fillId="55" borderId="18" xfId="0" applyFont="1" applyFill="1" applyBorder="1" applyAlignment="1">
      <alignment horizontal="left" vertical="center"/>
    </xf>
    <xf numFmtId="0" fontId="6" fillId="0" borderId="109" xfId="0" applyFont="1" applyBorder="1"/>
    <xf numFmtId="0" fontId="6" fillId="0" borderId="76" xfId="0" applyFont="1" applyBorder="1"/>
    <xf numFmtId="174" fontId="6" fillId="0" borderId="3" xfId="0" applyNumberFormat="1" applyFont="1" applyBorder="1" applyAlignment="1">
      <alignment horizontal="center" vertical="center" wrapText="1"/>
    </xf>
    <xf numFmtId="174" fontId="6" fillId="0" borderId="1" xfId="0" applyNumberFormat="1" applyFont="1" applyBorder="1" applyAlignment="1">
      <alignment horizontal="center" vertical="center" wrapText="1"/>
    </xf>
    <xf numFmtId="174" fontId="6" fillId="0" borderId="19" xfId="0" applyNumberFormat="1" applyFont="1" applyBorder="1" applyAlignment="1">
      <alignment horizontal="center" vertical="center" wrapText="1"/>
    </xf>
    <xf numFmtId="0" fontId="11" fillId="55" borderId="18" xfId="0" applyFont="1" applyFill="1" applyBorder="1" applyAlignment="1">
      <alignment horizontal="left" vertical="center"/>
    </xf>
    <xf numFmtId="0" fontId="7" fillId="55" borderId="18" xfId="0" applyFont="1" applyFill="1" applyBorder="1" applyAlignment="1">
      <alignment horizontal="left" vertical="center"/>
    </xf>
    <xf numFmtId="0" fontId="7" fillId="0" borderId="109" xfId="0" applyFont="1" applyBorder="1"/>
    <xf numFmtId="0" fontId="7" fillId="0" borderId="1" xfId="0" applyFont="1" applyBorder="1"/>
    <xf numFmtId="0" fontId="7" fillId="0" borderId="76" xfId="0" applyFont="1" applyBorder="1"/>
    <xf numFmtId="174" fontId="21" fillId="6" borderId="3" xfId="0" applyNumberFormat="1" applyFont="1" applyFill="1" applyBorder="1" applyAlignment="1">
      <alignment horizontal="center" vertical="center" wrapText="1"/>
    </xf>
    <xf numFmtId="174" fontId="21" fillId="6" borderId="18" xfId="0" applyNumberFormat="1" applyFont="1" applyFill="1" applyBorder="1" applyAlignment="1">
      <alignment horizontal="center" vertical="center" wrapText="1"/>
    </xf>
    <xf numFmtId="174" fontId="21" fillId="54" borderId="19" xfId="0" applyNumberFormat="1" applyFont="1" applyFill="1" applyBorder="1" applyAlignment="1">
      <alignment horizontal="center" vertical="center" wrapText="1"/>
    </xf>
    <xf numFmtId="174" fontId="21" fillId="54" borderId="3" xfId="0" applyNumberFormat="1" applyFont="1" applyFill="1" applyBorder="1" applyAlignment="1">
      <alignment horizontal="center" vertical="center" wrapText="1"/>
    </xf>
    <xf numFmtId="174" fontId="21" fillId="54" borderId="83" xfId="0" applyNumberFormat="1" applyFont="1" applyFill="1" applyBorder="1" applyAlignment="1">
      <alignment horizontal="center" vertical="center" wrapText="1"/>
    </xf>
    <xf numFmtId="0" fontId="7" fillId="55" borderId="129" xfId="0" applyFont="1" applyFill="1" applyBorder="1" applyAlignment="1">
      <alignment horizontal="left" vertical="center"/>
    </xf>
    <xf numFmtId="0" fontId="7" fillId="0" borderId="110" xfId="0" applyFont="1" applyBorder="1"/>
    <xf numFmtId="0" fontId="7" fillId="0" borderId="53" xfId="0" applyFont="1" applyBorder="1"/>
    <xf numFmtId="0" fontId="7" fillId="0" borderId="78" xfId="0" applyFont="1" applyBorder="1"/>
    <xf numFmtId="174" fontId="21" fillId="6" borderId="77" xfId="0" applyNumberFormat="1" applyFont="1" applyFill="1" applyBorder="1" applyAlignment="1">
      <alignment horizontal="center" vertical="center" wrapText="1"/>
    </xf>
    <xf numFmtId="174" fontId="21" fillId="54" borderId="113" xfId="0" applyNumberFormat="1" applyFont="1" applyFill="1" applyBorder="1" applyAlignment="1">
      <alignment horizontal="center" vertical="center" wrapText="1"/>
    </xf>
    <xf numFmtId="174" fontId="21" fillId="54" borderId="9" xfId="0" applyNumberFormat="1" applyFont="1" applyFill="1" applyBorder="1" applyAlignment="1">
      <alignment horizontal="center" vertical="center" wrapText="1"/>
    </xf>
    <xf numFmtId="174" fontId="21" fillId="54" borderId="94" xfId="0" applyNumberFormat="1" applyFont="1" applyFill="1" applyBorder="1" applyAlignment="1">
      <alignment horizontal="center" vertical="center" wrapText="1"/>
    </xf>
    <xf numFmtId="174" fontId="21" fillId="54" borderId="36" xfId="0" applyNumberFormat="1" applyFont="1" applyFill="1" applyBorder="1" applyAlignment="1">
      <alignment horizontal="center" vertical="center" wrapText="1"/>
    </xf>
    <xf numFmtId="174" fontId="21" fillId="54" borderId="85" xfId="0" applyNumberFormat="1" applyFont="1" applyFill="1" applyBorder="1" applyAlignment="1">
      <alignment horizontal="center" vertical="center" wrapText="1"/>
    </xf>
    <xf numFmtId="174" fontId="21" fillId="54" borderId="35" xfId="0" applyNumberFormat="1" applyFont="1" applyFill="1" applyBorder="1" applyAlignment="1">
      <alignment horizontal="center" vertical="center" wrapText="1"/>
    </xf>
    <xf numFmtId="0" fontId="6" fillId="0" borderId="108" xfId="0" applyFont="1" applyBorder="1"/>
    <xf numFmtId="0" fontId="6" fillId="0" borderId="55" xfId="0" applyFont="1" applyBorder="1"/>
    <xf numFmtId="0" fontId="6" fillId="0" borderId="111" xfId="0" applyFont="1" applyBorder="1"/>
    <xf numFmtId="174" fontId="6" fillId="0" borderId="74" xfId="0" applyNumberFormat="1" applyFont="1" applyBorder="1" applyAlignment="1">
      <alignment horizontal="center" vertical="center" wrapText="1"/>
    </xf>
    <xf numFmtId="174" fontId="6" fillId="0" borderId="55" xfId="0" applyNumberFormat="1" applyFont="1" applyBorder="1" applyAlignment="1">
      <alignment horizontal="center" vertical="center" wrapText="1"/>
    </xf>
    <xf numFmtId="0" fontId="7" fillId="0" borderId="2" xfId="0" applyFont="1" applyBorder="1"/>
    <xf numFmtId="174" fontId="21" fillId="6" borderId="109" xfId="0" applyNumberFormat="1" applyFont="1" applyFill="1" applyBorder="1" applyAlignment="1">
      <alignment horizontal="center" vertical="center" wrapText="1"/>
    </xf>
    <xf numFmtId="174" fontId="21" fillId="6" borderId="11" xfId="0" applyNumberFormat="1" applyFont="1" applyFill="1" applyBorder="1" applyAlignment="1">
      <alignment horizontal="center" vertical="center" wrapText="1"/>
    </xf>
    <xf numFmtId="174" fontId="21" fillId="6" borderId="10" xfId="0" applyNumberFormat="1" applyFont="1" applyFill="1" applyBorder="1" applyAlignment="1">
      <alignment horizontal="center" vertical="center" wrapText="1"/>
    </xf>
    <xf numFmtId="174" fontId="21" fillId="54" borderId="11" xfId="0" applyNumberFormat="1" applyFont="1" applyFill="1" applyBorder="1" applyAlignment="1">
      <alignment horizontal="center" vertical="center" wrapText="1"/>
    </xf>
    <xf numFmtId="174" fontId="21" fillId="54" borderId="88" xfId="0" applyNumberFormat="1" applyFont="1" applyFill="1" applyBorder="1" applyAlignment="1">
      <alignment horizontal="center" vertical="center" wrapText="1"/>
    </xf>
    <xf numFmtId="0" fontId="7" fillId="55" borderId="372" xfId="0" applyFont="1" applyFill="1" applyBorder="1" applyAlignment="1">
      <alignment horizontal="left" vertical="center"/>
    </xf>
    <xf numFmtId="0" fontId="7" fillId="0" borderId="77" xfId="0" applyFont="1" applyBorder="1"/>
    <xf numFmtId="174" fontId="21" fillId="6" borderId="110" xfId="0" applyNumberFormat="1" applyFont="1" applyFill="1" applyBorder="1" applyAlignment="1">
      <alignment horizontal="center" vertical="center" wrapText="1"/>
    </xf>
    <xf numFmtId="174" fontId="21" fillId="6" borderId="63" xfId="0" applyNumberFormat="1" applyFont="1" applyFill="1" applyBorder="1" applyAlignment="1">
      <alignment horizontal="center" vertical="center" wrapText="1"/>
    </xf>
    <xf numFmtId="174" fontId="21" fillId="6" borderId="53" xfId="0" applyNumberFormat="1" applyFont="1" applyFill="1" applyBorder="1" applyAlignment="1">
      <alignment horizontal="center" vertical="center" wrapText="1"/>
    </xf>
    <xf numFmtId="174" fontId="21" fillId="54" borderId="84" xfId="0" applyNumberFormat="1" applyFont="1" applyFill="1" applyBorder="1" applyAlignment="1">
      <alignment horizontal="center" vertical="center" wrapText="1"/>
    </xf>
    <xf numFmtId="174" fontId="21" fillId="54" borderId="129" xfId="0" applyNumberFormat="1" applyFont="1" applyFill="1" applyBorder="1" applyAlignment="1">
      <alignment horizontal="center" vertical="center" wrapText="1"/>
    </xf>
    <xf numFmtId="174" fontId="21" fillId="54" borderId="34" xfId="0" applyNumberFormat="1" applyFont="1" applyFill="1" applyBorder="1" applyAlignment="1">
      <alignment horizontal="center" vertical="center" wrapText="1"/>
    </xf>
    <xf numFmtId="174" fontId="21" fillId="54" borderId="87" xfId="0" applyNumberFormat="1" applyFont="1" applyFill="1" applyBorder="1" applyAlignment="1">
      <alignment horizontal="center" vertical="center" wrapText="1"/>
    </xf>
    <xf numFmtId="174" fontId="21" fillId="54" borderId="10" xfId="0" applyNumberFormat="1" applyFont="1" applyFill="1" applyBorder="1" applyAlignment="1">
      <alignment horizontal="center" vertical="center" wrapText="1"/>
    </xf>
    <xf numFmtId="174" fontId="21" fillId="54" borderId="8" xfId="0" applyNumberFormat="1" applyFont="1" applyFill="1" applyBorder="1" applyAlignment="1">
      <alignment horizontal="center" vertical="center" wrapText="1"/>
    </xf>
    <xf numFmtId="0" fontId="6" fillId="0" borderId="75" xfId="0" applyFont="1" applyBorder="1"/>
    <xf numFmtId="174" fontId="6" fillId="3" borderId="3" xfId="0" applyNumberFormat="1" applyFont="1" applyFill="1" applyBorder="1" applyAlignment="1">
      <alignment horizontal="center" vertical="center" wrapText="1"/>
    </xf>
    <xf numFmtId="174" fontId="6" fillId="3" borderId="6" xfId="0" applyNumberFormat="1" applyFont="1" applyFill="1" applyBorder="1" applyAlignment="1">
      <alignment horizontal="center" vertical="center" wrapText="1"/>
    </xf>
    <xf numFmtId="174" fontId="6" fillId="3" borderId="89" xfId="0" applyNumberFormat="1" applyFont="1" applyFill="1" applyBorder="1" applyAlignment="1">
      <alignment horizontal="center" vertical="center" wrapText="1"/>
    </xf>
    <xf numFmtId="174" fontId="6" fillId="3" borderId="4" xfId="0" applyNumberFormat="1" applyFont="1" applyFill="1" applyBorder="1" applyAlignment="1">
      <alignment horizontal="center" vertical="center" wrapText="1"/>
    </xf>
    <xf numFmtId="174" fontId="6" fillId="3" borderId="7" xfId="0" applyNumberFormat="1" applyFont="1" applyFill="1" applyBorder="1" applyAlignment="1">
      <alignment horizontal="center" vertical="center" wrapText="1"/>
    </xf>
    <xf numFmtId="174" fontId="6" fillId="3" borderId="19" xfId="0" applyNumberFormat="1" applyFont="1" applyFill="1" applyBorder="1" applyAlignment="1">
      <alignment horizontal="center" vertical="center" wrapText="1"/>
    </xf>
    <xf numFmtId="0" fontId="7" fillId="55" borderId="10" xfId="0" applyFont="1" applyFill="1" applyBorder="1" applyAlignment="1">
      <alignment horizontal="left" vertical="center"/>
    </xf>
    <xf numFmtId="174" fontId="21" fillId="6" borderId="68" xfId="0" applyNumberFormat="1" applyFont="1" applyFill="1" applyBorder="1" applyAlignment="1">
      <alignment horizontal="center" vertical="center"/>
    </xf>
    <xf numFmtId="174" fontId="21" fillId="6" borderId="53" xfId="0" applyNumberFormat="1" applyFont="1" applyFill="1" applyBorder="1" applyAlignment="1">
      <alignment horizontal="center" vertical="center"/>
    </xf>
    <xf numFmtId="174" fontId="21" fillId="6" borderId="112" xfId="0" applyNumberFormat="1" applyFont="1" applyFill="1" applyBorder="1" applyAlignment="1">
      <alignment horizontal="center" vertical="center"/>
    </xf>
    <xf numFmtId="174" fontId="21" fillId="6" borderId="63" xfId="0" applyNumberFormat="1" applyFont="1" applyFill="1" applyBorder="1" applyAlignment="1">
      <alignment horizontal="center" vertical="center"/>
    </xf>
    <xf numFmtId="174" fontId="21" fillId="6" borderId="77" xfId="0" applyNumberFormat="1" applyFont="1" applyFill="1" applyBorder="1" applyAlignment="1">
      <alignment horizontal="center" vertical="center"/>
    </xf>
    <xf numFmtId="174" fontId="21" fillId="54" borderId="113" xfId="0" applyNumberFormat="1" applyFont="1" applyFill="1" applyBorder="1" applyAlignment="1">
      <alignment horizontal="center" vertical="center"/>
    </xf>
    <xf numFmtId="174" fontId="21" fillId="54" borderId="8" xfId="0" applyNumberFormat="1" applyFont="1" applyFill="1" applyBorder="1" applyAlignment="1">
      <alignment horizontal="center" vertical="center"/>
    </xf>
    <xf numFmtId="174" fontId="21" fillId="54" borderId="11" xfId="0" applyNumberFormat="1" applyFont="1" applyFill="1" applyBorder="1" applyAlignment="1">
      <alignment horizontal="center" vertical="center"/>
    </xf>
    <xf numFmtId="174" fontId="21" fillId="54" borderId="10" xfId="0" applyNumberFormat="1" applyFont="1" applyFill="1" applyBorder="1" applyAlignment="1">
      <alignment horizontal="center" vertical="center"/>
    </xf>
    <xf numFmtId="174" fontId="21" fillId="54" borderId="94" xfId="0" applyNumberFormat="1" applyFont="1" applyFill="1" applyBorder="1" applyAlignment="1">
      <alignment horizontal="center" vertical="center"/>
    </xf>
    <xf numFmtId="174" fontId="21" fillId="54" borderId="36" xfId="0" applyNumberFormat="1" applyFont="1" applyFill="1" applyBorder="1" applyAlignment="1">
      <alignment horizontal="center" vertical="center"/>
    </xf>
    <xf numFmtId="174" fontId="21" fillId="54" borderId="34" xfId="0" applyNumberFormat="1" applyFont="1" applyFill="1" applyBorder="1" applyAlignment="1">
      <alignment horizontal="center" vertical="center"/>
    </xf>
    <xf numFmtId="174" fontId="21" fillId="54" borderId="37" xfId="0" applyNumberFormat="1" applyFont="1" applyFill="1" applyBorder="1" applyAlignment="1">
      <alignment horizontal="center" vertical="center"/>
    </xf>
    <xf numFmtId="174" fontId="21" fillId="54" borderId="129" xfId="0" applyNumberFormat="1" applyFont="1" applyFill="1" applyBorder="1" applyAlignment="1">
      <alignment horizontal="center" vertical="center"/>
    </xf>
    <xf numFmtId="174" fontId="21" fillId="54" borderId="35" xfId="0" applyNumberFormat="1" applyFont="1" applyFill="1" applyBorder="1" applyAlignment="1">
      <alignment horizontal="center" vertical="center"/>
    </xf>
    <xf numFmtId="0" fontId="6" fillId="55" borderId="240" xfId="0" applyFont="1" applyFill="1" applyBorder="1" applyAlignment="1">
      <alignment horizontal="left" vertical="center"/>
    </xf>
    <xf numFmtId="0" fontId="6" fillId="4" borderId="187" xfId="0" applyFont="1" applyFill="1" applyBorder="1"/>
    <xf numFmtId="0" fontId="6" fillId="4" borderId="55" xfId="0" applyFont="1" applyFill="1" applyBorder="1"/>
    <xf numFmtId="0" fontId="6" fillId="4" borderId="111" xfId="0" applyFont="1" applyFill="1" applyBorder="1"/>
    <xf numFmtId="174" fontId="6" fillId="4" borderId="6" xfId="0" applyNumberFormat="1" applyFont="1" applyFill="1" applyBorder="1" applyAlignment="1">
      <alignment horizontal="center" vertical="center" wrapText="1"/>
    </xf>
    <xf numFmtId="174" fontId="21" fillId="4" borderId="12" xfId="0" applyNumberFormat="1" applyFont="1" applyFill="1" applyBorder="1" applyAlignment="1">
      <alignment horizontal="center" vertical="center" wrapText="1"/>
    </xf>
    <xf numFmtId="174" fontId="144" fillId="3" borderId="4" xfId="0" applyNumberFormat="1" applyFont="1" applyFill="1" applyBorder="1" applyAlignment="1">
      <alignment horizontal="center" vertical="center" wrapText="1"/>
    </xf>
    <xf numFmtId="174" fontId="144" fillId="3" borderId="7" xfId="0" applyNumberFormat="1" applyFont="1" applyFill="1" applyBorder="1" applyAlignment="1">
      <alignment horizontal="center" vertical="center" wrapText="1"/>
    </xf>
    <xf numFmtId="174" fontId="144" fillId="3" borderId="89" xfId="0" applyNumberFormat="1" applyFont="1" applyFill="1" applyBorder="1" applyAlignment="1">
      <alignment horizontal="center" vertical="center" wrapText="1"/>
    </xf>
    <xf numFmtId="174" fontId="144" fillId="3" borderId="6" xfId="0" applyNumberFormat="1" applyFont="1" applyFill="1" applyBorder="1" applyAlignment="1">
      <alignment horizontal="center" vertical="center" wrapText="1"/>
    </xf>
    <xf numFmtId="0" fontId="6" fillId="4" borderId="109" xfId="0" applyFont="1" applyFill="1" applyBorder="1"/>
    <xf numFmtId="0" fontId="6" fillId="4" borderId="1" xfId="0" applyFont="1" applyFill="1" applyBorder="1"/>
    <xf numFmtId="0" fontId="6" fillId="4" borderId="2" xfId="0" applyFont="1" applyFill="1" applyBorder="1"/>
    <xf numFmtId="174" fontId="6" fillId="4" borderId="30" xfId="0" applyNumberFormat="1" applyFont="1" applyFill="1" applyBorder="1" applyAlignment="1">
      <alignment horizontal="center" vertical="center" wrapText="1"/>
    </xf>
    <xf numFmtId="174" fontId="144" fillId="3" borderId="169" xfId="0" applyNumberFormat="1" applyFont="1" applyFill="1" applyBorder="1" applyAlignment="1">
      <alignment horizontal="center" vertical="center" wrapText="1"/>
    </xf>
    <xf numFmtId="174" fontId="6" fillId="4" borderId="109" xfId="0" applyNumberFormat="1" applyFont="1" applyFill="1" applyBorder="1" applyAlignment="1">
      <alignment horizontal="center" vertical="center" wrapText="1"/>
    </xf>
    <xf numFmtId="174" fontId="144" fillId="3" borderId="19" xfId="0" applyNumberFormat="1" applyFont="1" applyFill="1" applyBorder="1" applyAlignment="1">
      <alignment horizontal="center" vertical="center" wrapText="1"/>
    </xf>
    <xf numFmtId="0" fontId="7" fillId="4" borderId="109" xfId="0" applyFont="1" applyFill="1" applyBorder="1"/>
    <xf numFmtId="0" fontId="7" fillId="4" borderId="1" xfId="0" applyFont="1" applyFill="1" applyBorder="1"/>
    <xf numFmtId="0" fontId="7" fillId="4" borderId="2" xfId="0" applyFont="1" applyFill="1" applyBorder="1"/>
    <xf numFmtId="174" fontId="21" fillId="4" borderId="6" xfId="0" applyNumberFormat="1" applyFont="1" applyFill="1" applyBorder="1" applyAlignment="1">
      <alignment horizontal="center" vertical="center" wrapText="1"/>
    </xf>
    <xf numFmtId="174" fontId="21" fillId="54" borderId="89" xfId="0" applyNumberFormat="1" applyFont="1" applyFill="1" applyBorder="1" applyAlignment="1">
      <alignment horizontal="center" vertical="center" wrapText="1"/>
    </xf>
    <xf numFmtId="174" fontId="21" fillId="54" borderId="6" xfId="0" applyNumberFormat="1" applyFont="1" applyFill="1" applyBorder="1" applyAlignment="1">
      <alignment horizontal="center" vertical="center" wrapText="1"/>
    </xf>
    <xf numFmtId="0" fontId="7" fillId="55" borderId="63" xfId="0" applyFont="1" applyFill="1" applyBorder="1" applyAlignment="1">
      <alignment horizontal="left" vertical="center"/>
    </xf>
    <xf numFmtId="0" fontId="7" fillId="4" borderId="110" xfId="0" applyFont="1" applyFill="1" applyBorder="1"/>
    <xf numFmtId="0" fontId="7" fillId="4" borderId="53" xfId="0" applyFont="1" applyFill="1" applyBorder="1"/>
    <xf numFmtId="0" fontId="7" fillId="4" borderId="77" xfId="0" applyFont="1" applyFill="1" applyBorder="1"/>
    <xf numFmtId="174" fontId="21" fillId="4" borderId="110" xfId="0" applyNumberFormat="1" applyFont="1" applyFill="1" applyBorder="1" applyAlignment="1">
      <alignment horizontal="center" vertical="center" wrapText="1"/>
    </xf>
    <xf numFmtId="174" fontId="21" fillId="4" borderId="112" xfId="0" applyNumberFormat="1" applyFont="1" applyFill="1" applyBorder="1" applyAlignment="1">
      <alignment horizontal="center" vertical="center" wrapText="1"/>
    </xf>
    <xf numFmtId="174" fontId="7" fillId="4" borderId="77" xfId="0" applyNumberFormat="1" applyFont="1" applyFill="1" applyBorder="1" applyAlignment="1">
      <alignment horizontal="center" vertical="center" wrapText="1"/>
    </xf>
    <xf numFmtId="174" fontId="21" fillId="54" borderId="37" xfId="0" applyNumberFormat="1" applyFont="1" applyFill="1" applyBorder="1" applyAlignment="1">
      <alignment horizontal="center" vertical="center" wrapText="1"/>
    </xf>
    <xf numFmtId="174" fontId="7" fillId="54" borderId="35" xfId="0" applyNumberFormat="1" applyFont="1" applyFill="1" applyBorder="1" applyAlignment="1">
      <alignment horizontal="center" vertical="center" wrapText="1"/>
    </xf>
    <xf numFmtId="0" fontId="11" fillId="56" borderId="222" xfId="0" applyFont="1" applyFill="1" applyBorder="1" applyAlignment="1">
      <alignment horizontal="left" vertical="center"/>
    </xf>
    <xf numFmtId="0" fontId="157" fillId="56" borderId="204" xfId="0" applyFont="1" applyFill="1" applyBorder="1" applyAlignment="1">
      <alignment horizontal="center" vertical="center" wrapText="1"/>
    </xf>
    <xf numFmtId="0" fontId="157" fillId="56" borderId="205" xfId="0" applyFont="1" applyFill="1" applyBorder="1" applyAlignment="1">
      <alignment horizontal="center" vertical="center" wrapText="1"/>
    </xf>
    <xf numFmtId="0" fontId="157" fillId="56" borderId="202" xfId="0" applyFont="1" applyFill="1" applyBorder="1" applyAlignment="1">
      <alignment horizontal="center" vertical="center" wrapText="1"/>
    </xf>
    <xf numFmtId="0" fontId="157" fillId="56" borderId="206" xfId="0" applyFont="1" applyFill="1" applyBorder="1" applyAlignment="1">
      <alignment horizontal="center" vertical="center" wrapText="1"/>
    </xf>
    <xf numFmtId="0" fontId="157" fillId="56" borderId="203" xfId="0" applyFont="1" applyFill="1" applyBorder="1" applyAlignment="1">
      <alignment horizontal="center" vertical="center" wrapText="1"/>
    </xf>
    <xf numFmtId="0" fontId="11" fillId="56" borderId="161" xfId="0" applyFont="1" applyFill="1" applyBorder="1" applyAlignment="1">
      <alignment horizontal="center" vertical="center" wrapText="1"/>
    </xf>
    <xf numFmtId="0" fontId="11" fillId="56" borderId="158" xfId="0" applyFont="1" applyFill="1" applyBorder="1" applyAlignment="1">
      <alignment horizontal="center" vertical="center" wrapText="1"/>
    </xf>
    <xf numFmtId="0" fontId="11" fillId="56" borderId="157" xfId="0" applyFont="1" applyFill="1" applyBorder="1" applyAlignment="1">
      <alignment horizontal="center" vertical="center" wrapText="1"/>
    </xf>
    <xf numFmtId="0" fontId="158" fillId="0" borderId="127" xfId="0" applyFont="1" applyBorder="1" applyAlignment="1">
      <alignment vertical="center" wrapText="1"/>
    </xf>
    <xf numFmtId="0" fontId="6" fillId="54" borderId="359" xfId="0" applyFont="1" applyFill="1" applyBorder="1" applyAlignment="1">
      <alignment horizontal="center" vertical="center"/>
    </xf>
    <xf numFmtId="0" fontId="6" fillId="54" borderId="360" xfId="0" applyFont="1" applyFill="1" applyBorder="1" applyAlignment="1">
      <alignment horizontal="center" vertical="center"/>
    </xf>
    <xf numFmtId="0" fontId="6" fillId="54" borderId="99" xfId="0" applyFont="1" applyFill="1" applyBorder="1" applyAlignment="1">
      <alignment horizontal="center" vertical="center"/>
    </xf>
    <xf numFmtId="0" fontId="6" fillId="54" borderId="399" xfId="0" applyFont="1" applyFill="1" applyBorder="1" applyAlignment="1">
      <alignment horizontal="center" vertical="center"/>
    </xf>
    <xf numFmtId="0" fontId="6" fillId="54" borderId="375" xfId="0" applyFont="1" applyFill="1" applyBorder="1" applyAlignment="1">
      <alignment horizontal="center" vertical="center"/>
    </xf>
    <xf numFmtId="0" fontId="6" fillId="54" borderId="361" xfId="0" applyFont="1" applyFill="1" applyBorder="1" applyAlignment="1">
      <alignment horizontal="center" vertical="center"/>
    </xf>
    <xf numFmtId="0" fontId="6" fillId="54" borderId="400" xfId="0" applyFont="1" applyFill="1" applyBorder="1" applyAlignment="1">
      <alignment horizontal="center" vertical="center"/>
    </xf>
    <xf numFmtId="0" fontId="6" fillId="54" borderId="42" xfId="0" applyFont="1" applyFill="1" applyBorder="1" applyAlignment="1">
      <alignment horizontal="center" vertical="center"/>
    </xf>
    <xf numFmtId="49" fontId="11" fillId="56" borderId="161" xfId="0" applyNumberFormat="1" applyFont="1" applyFill="1" applyBorder="1" applyAlignment="1">
      <alignment horizontal="center" vertical="center"/>
    </xf>
    <xf numFmtId="0" fontId="11" fillId="56" borderId="157" xfId="0" applyFont="1" applyFill="1" applyBorder="1" applyAlignment="1">
      <alignment horizontal="center" vertical="center"/>
    </xf>
    <xf numFmtId="0" fontId="61" fillId="55" borderId="161" xfId="0" applyFont="1" applyFill="1" applyBorder="1" applyAlignment="1">
      <alignment horizontal="center" vertical="center"/>
    </xf>
    <xf numFmtId="0" fontId="61" fillId="55" borderId="158" xfId="0" applyFont="1" applyFill="1" applyBorder="1" applyAlignment="1">
      <alignment horizontal="center" vertical="center"/>
    </xf>
    <xf numFmtId="0" fontId="61" fillId="55" borderId="39" xfId="0" applyFont="1" applyFill="1" applyBorder="1" applyAlignment="1">
      <alignment horizontal="center" vertical="center"/>
    </xf>
    <xf numFmtId="0" fontId="18" fillId="56" borderId="157" xfId="0" applyFont="1" applyFill="1" applyBorder="1"/>
    <xf numFmtId="0" fontId="18" fillId="56" borderId="20" xfId="0" applyFont="1" applyFill="1" applyBorder="1"/>
    <xf numFmtId="0" fontId="61" fillId="55" borderId="132" xfId="0" applyFont="1" applyFill="1" applyBorder="1" applyAlignment="1">
      <alignment vertical="center"/>
    </xf>
    <xf numFmtId="0" fontId="61" fillId="55" borderId="95" xfId="0" applyFont="1" applyFill="1" applyBorder="1" applyAlignment="1">
      <alignment vertical="center"/>
    </xf>
    <xf numFmtId="0" fontId="61" fillId="55" borderId="132" xfId="0" applyFont="1" applyFill="1" applyBorder="1" applyAlignment="1">
      <alignment horizontal="left" vertical="center"/>
    </xf>
    <xf numFmtId="0" fontId="61" fillId="56" borderId="93" xfId="0" applyFont="1" applyFill="1" applyBorder="1" applyAlignment="1">
      <alignment horizontal="center" vertical="center"/>
    </xf>
    <xf numFmtId="0" fontId="61" fillId="56" borderId="160" xfId="0" applyFont="1" applyFill="1" applyBorder="1" applyAlignment="1">
      <alignment horizontal="center" vertical="center"/>
    </xf>
    <xf numFmtId="0" fontId="61" fillId="56" borderId="125" xfId="0" applyFont="1" applyFill="1" applyBorder="1" applyAlignment="1">
      <alignment horizontal="center" vertical="center"/>
    </xf>
    <xf numFmtId="0" fontId="61" fillId="56" borderId="158" xfId="0" applyFont="1" applyFill="1" applyBorder="1" applyAlignment="1">
      <alignment horizontal="center" vertical="center"/>
    </xf>
    <xf numFmtId="0" fontId="61" fillId="56" borderId="128" xfId="0" applyFont="1" applyFill="1" applyBorder="1" applyAlignment="1">
      <alignment horizontal="center" vertical="center"/>
    </xf>
    <xf numFmtId="3" fontId="11" fillId="55" borderId="22" xfId="0" applyNumberFormat="1" applyFont="1" applyFill="1" applyBorder="1" applyAlignment="1">
      <alignment horizontal="left" vertical="center" wrapText="1"/>
    </xf>
    <xf numFmtId="0" fontId="8" fillId="3" borderId="52" xfId="0" applyFont="1" applyFill="1" applyBorder="1" applyAlignment="1">
      <alignment horizontal="center" vertical="top"/>
    </xf>
    <xf numFmtId="0" fontId="147" fillId="55" borderId="156" xfId="0" applyFont="1" applyFill="1" applyBorder="1" applyAlignment="1">
      <alignment horizontal="left" vertical="top" wrapText="1"/>
    </xf>
    <xf numFmtId="172" fontId="6" fillId="61" borderId="89" xfId="0" applyNumberFormat="1" applyFont="1" applyFill="1" applyBorder="1" applyAlignment="1">
      <alignment horizontal="center" vertical="center"/>
    </xf>
    <xf numFmtId="172" fontId="6" fillId="61" borderId="28" xfId="0" applyNumberFormat="1" applyFont="1" applyFill="1" applyBorder="1" applyAlignment="1">
      <alignment horizontal="center" vertical="center"/>
    </xf>
    <xf numFmtId="172" fontId="6" fillId="61" borderId="19" xfId="0" applyNumberFormat="1" applyFont="1" applyFill="1" applyBorder="1" applyAlignment="1">
      <alignment horizontal="center" vertical="center"/>
    </xf>
    <xf numFmtId="172" fontId="6" fillId="61" borderId="1" xfId="0" applyNumberFormat="1" applyFont="1" applyFill="1" applyBorder="1" applyAlignment="1">
      <alignment horizontal="center" vertical="center"/>
    </xf>
    <xf numFmtId="172" fontId="6" fillId="61" borderId="7" xfId="0" applyNumberFormat="1" applyFont="1" applyFill="1" applyBorder="1" applyAlignment="1">
      <alignment horizontal="center" vertical="center"/>
    </xf>
    <xf numFmtId="172" fontId="6" fillId="61" borderId="3" xfId="0" applyNumberFormat="1" applyFont="1" applyFill="1" applyBorder="1" applyAlignment="1">
      <alignment horizontal="center" vertical="center"/>
    </xf>
    <xf numFmtId="172" fontId="6" fillId="61" borderId="6" xfId="0" applyNumberFormat="1" applyFont="1" applyFill="1" applyBorder="1" applyAlignment="1">
      <alignment horizontal="center" vertical="center"/>
    </xf>
    <xf numFmtId="3" fontId="11" fillId="3" borderId="41" xfId="3" applyNumberFormat="1" applyFont="1" applyFill="1" applyBorder="1" applyAlignment="1">
      <alignment horizontal="center" vertical="center"/>
    </xf>
    <xf numFmtId="3" fontId="11" fillId="3" borderId="30" xfId="3" applyNumberFormat="1" applyFont="1" applyFill="1" applyBorder="1" applyAlignment="1">
      <alignment horizontal="center" vertical="center"/>
    </xf>
    <xf numFmtId="3" fontId="11" fillId="3" borderId="52" xfId="3" applyNumberFormat="1" applyFont="1" applyFill="1" applyBorder="1" applyAlignment="1">
      <alignment horizontal="center" vertical="center"/>
    </xf>
    <xf numFmtId="3" fontId="11" fillId="3" borderId="0" xfId="3" applyNumberFormat="1" applyFont="1" applyFill="1" applyBorder="1" applyAlignment="1">
      <alignment horizontal="center" vertical="center"/>
    </xf>
    <xf numFmtId="3" fontId="11" fillId="3" borderId="127" xfId="3" applyNumberFormat="1" applyFont="1" applyFill="1" applyBorder="1" applyAlignment="1">
      <alignment horizontal="center" vertical="center"/>
    </xf>
    <xf numFmtId="0" fontId="6" fillId="0" borderId="30" xfId="0" applyFont="1" applyBorder="1" applyAlignment="1">
      <alignment horizontal="left" vertical="top" wrapText="1"/>
    </xf>
    <xf numFmtId="3" fontId="11" fillId="0" borderId="169" xfId="0" applyNumberFormat="1" applyFont="1" applyBorder="1" applyAlignment="1">
      <alignment horizontal="right" vertical="top"/>
    </xf>
    <xf numFmtId="3" fontId="11" fillId="0" borderId="29" xfId="0" applyNumberFormat="1" applyFont="1" applyBorder="1" applyAlignment="1">
      <alignment horizontal="right" vertical="top"/>
    </xf>
    <xf numFmtId="3" fontId="6" fillId="0" borderId="29" xfId="2" applyNumberFormat="1" applyFont="1" applyBorder="1" applyAlignment="1">
      <alignment horizontal="right" vertical="top"/>
    </xf>
    <xf numFmtId="3" fontId="11" fillId="3" borderId="99" xfId="0" applyNumberFormat="1" applyFont="1" applyFill="1" applyBorder="1" applyAlignment="1">
      <alignment horizontal="center" vertical="center"/>
    </xf>
    <xf numFmtId="3" fontId="11" fillId="3" borderId="30" xfId="0" applyNumberFormat="1" applyFont="1" applyFill="1" applyBorder="1" applyAlignment="1">
      <alignment horizontal="center" vertical="center"/>
    </xf>
    <xf numFmtId="0" fontId="6" fillId="0" borderId="403" xfId="0" applyFont="1" applyBorder="1" applyAlignment="1">
      <alignment horizontal="left" vertical="top" wrapText="1"/>
    </xf>
    <xf numFmtId="3" fontId="11" fillId="0" borderId="403" xfId="0" applyNumberFormat="1" applyFont="1" applyBorder="1" applyAlignment="1">
      <alignment horizontal="center" vertical="center"/>
    </xf>
    <xf numFmtId="3" fontId="6" fillId="0" borderId="52" xfId="0" applyNumberFormat="1" applyFont="1" applyBorder="1" applyAlignment="1">
      <alignment horizontal="right" vertical="top"/>
    </xf>
    <xf numFmtId="3" fontId="11" fillId="0" borderId="268" xfId="0" applyNumberFormat="1" applyFont="1" applyBorder="1" applyAlignment="1">
      <alignment horizontal="center" vertical="center"/>
    </xf>
    <xf numFmtId="3" fontId="11" fillId="0" borderId="285" xfId="0" applyNumberFormat="1" applyFont="1" applyBorder="1" applyAlignment="1">
      <alignment horizontal="center" vertical="center"/>
    </xf>
    <xf numFmtId="3" fontId="11" fillId="0" borderId="416" xfId="0" applyNumberFormat="1" applyFont="1" applyBorder="1" applyAlignment="1">
      <alignment horizontal="center" vertical="center"/>
    </xf>
    <xf numFmtId="0" fontId="6" fillId="0" borderId="413" xfId="0" applyFont="1" applyBorder="1" applyAlignment="1">
      <alignment horizontal="left" vertical="top" wrapText="1"/>
    </xf>
    <xf numFmtId="3" fontId="11" fillId="0" borderId="87" xfId="0" applyNumberFormat="1" applyFont="1" applyBorder="1" applyAlignment="1">
      <alignment horizontal="center" vertical="center"/>
    </xf>
    <xf numFmtId="3" fontId="11" fillId="3" borderId="403" xfId="0" applyNumberFormat="1" applyFont="1" applyFill="1" applyBorder="1" applyAlignment="1">
      <alignment horizontal="center" vertical="center"/>
    </xf>
    <xf numFmtId="3" fontId="11" fillId="3" borderId="94" xfId="0" applyNumberFormat="1" applyFont="1" applyFill="1" applyBorder="1" applyAlignment="1">
      <alignment horizontal="center" vertical="center"/>
    </xf>
    <xf numFmtId="3" fontId="11" fillId="3" borderId="268" xfId="0" applyNumberFormat="1" applyFont="1" applyFill="1" applyBorder="1" applyAlignment="1">
      <alignment horizontal="center" vertical="center"/>
    </xf>
    <xf numFmtId="0" fontId="6" fillId="0" borderId="423" xfId="0" applyFont="1" applyBorder="1" applyAlignment="1">
      <alignment horizontal="left" vertical="top" wrapText="1"/>
    </xf>
    <xf numFmtId="0" fontId="6" fillId="3" borderId="403" xfId="0" applyFont="1" applyFill="1" applyBorder="1" applyAlignment="1">
      <alignment horizontal="left" vertical="top" wrapText="1"/>
    </xf>
    <xf numFmtId="0" fontId="6" fillId="0" borderId="408" xfId="0" applyFont="1" applyBorder="1" applyAlignment="1">
      <alignment horizontal="left" vertical="top" wrapText="1"/>
    </xf>
    <xf numFmtId="172" fontId="6" fillId="61" borderId="408" xfId="0" applyNumberFormat="1" applyFont="1" applyFill="1" applyBorder="1" applyAlignment="1">
      <alignment horizontal="center" vertical="center"/>
    </xf>
    <xf numFmtId="172" fontId="6" fillId="61" borderId="403" xfId="0" applyNumberFormat="1" applyFont="1" applyFill="1" applyBorder="1" applyAlignment="1">
      <alignment horizontal="center" vertical="center"/>
    </xf>
    <xf numFmtId="172" fontId="6" fillId="61" borderId="416" xfId="0" applyNumberFormat="1" applyFont="1" applyFill="1" applyBorder="1" applyAlignment="1">
      <alignment horizontal="center" vertical="center"/>
    </xf>
    <xf numFmtId="172" fontId="6" fillId="61" borderId="413" xfId="0" applyNumberFormat="1" applyFont="1" applyFill="1" applyBorder="1" applyAlignment="1">
      <alignment horizontal="center" vertical="center"/>
    </xf>
    <xf numFmtId="172" fontId="6" fillId="61" borderId="286" xfId="0" applyNumberFormat="1" applyFont="1" applyFill="1" applyBorder="1" applyAlignment="1">
      <alignment horizontal="center" vertical="center"/>
    </xf>
    <xf numFmtId="172" fontId="6" fillId="61" borderId="412" xfId="0" applyNumberFormat="1" applyFont="1" applyFill="1" applyBorder="1" applyAlignment="1">
      <alignment horizontal="center" vertical="center"/>
    </xf>
    <xf numFmtId="172" fontId="6" fillId="61" borderId="426" xfId="0" applyNumberFormat="1" applyFont="1" applyFill="1" applyBorder="1" applyAlignment="1">
      <alignment horizontal="center" vertical="center"/>
    </xf>
    <xf numFmtId="172" fontId="6" fillId="61" borderId="427" xfId="0" applyNumberFormat="1" applyFont="1" applyFill="1" applyBorder="1" applyAlignment="1">
      <alignment horizontal="center" vertical="center"/>
    </xf>
    <xf numFmtId="172" fontId="6" fillId="61" borderId="311" xfId="0" applyNumberFormat="1" applyFont="1" applyFill="1" applyBorder="1" applyAlignment="1">
      <alignment horizontal="center" vertical="center"/>
    </xf>
    <xf numFmtId="3" fontId="6" fillId="0" borderId="29" xfId="2" applyNumberFormat="1" applyFont="1" applyFill="1" applyBorder="1" applyAlignment="1">
      <alignment horizontal="right" vertical="top"/>
    </xf>
    <xf numFmtId="3" fontId="6" fillId="0" borderId="41" xfId="0" applyNumberFormat="1" applyFont="1" applyBorder="1" applyAlignment="1">
      <alignment horizontal="right" vertical="top"/>
    </xf>
    <xf numFmtId="3" fontId="6" fillId="0" borderId="30" xfId="0" applyNumberFormat="1" applyFont="1" applyBorder="1" applyAlignment="1">
      <alignment horizontal="right" vertical="top"/>
    </xf>
    <xf numFmtId="172" fontId="6" fillId="61" borderId="421" xfId="0" applyNumberFormat="1" applyFont="1" applyFill="1" applyBorder="1" applyAlignment="1">
      <alignment horizontal="center" vertical="center"/>
    </xf>
    <xf numFmtId="172" fontId="6" fillId="61" borderId="432" xfId="0" applyNumberFormat="1" applyFont="1" applyFill="1" applyBorder="1" applyAlignment="1">
      <alignment horizontal="center" vertical="center"/>
    </xf>
    <xf numFmtId="172" fontId="6" fillId="61" borderId="433" xfId="0" applyNumberFormat="1" applyFont="1" applyFill="1" applyBorder="1" applyAlignment="1">
      <alignment horizontal="center" vertical="center"/>
    </xf>
    <xf numFmtId="0" fontId="6" fillId="0" borderId="286" xfId="0" applyFont="1" applyBorder="1" applyAlignment="1">
      <alignment horizontal="left" vertical="top" wrapText="1"/>
    </xf>
    <xf numFmtId="3" fontId="11" fillId="0" borderId="315" xfId="0" applyNumberFormat="1" applyFont="1" applyBorder="1" applyAlignment="1">
      <alignment horizontal="right" vertical="top"/>
    </xf>
    <xf numFmtId="3" fontId="11" fillId="0" borderId="289" xfId="0" applyNumberFormat="1" applyFont="1" applyBorder="1" applyAlignment="1">
      <alignment horizontal="right" vertical="top"/>
    </xf>
    <xf numFmtId="3" fontId="6" fillId="0" borderId="289" xfId="2" applyNumberFormat="1" applyFont="1" applyFill="1" applyBorder="1" applyAlignment="1">
      <alignment horizontal="right" vertical="top"/>
    </xf>
    <xf numFmtId="3" fontId="6" fillId="0" borderId="288" xfId="0" applyNumberFormat="1" applyFont="1" applyBorder="1" applyAlignment="1">
      <alignment horizontal="right" vertical="top"/>
    </xf>
    <xf numFmtId="3" fontId="11" fillId="0" borderId="434" xfId="0" applyNumberFormat="1" applyFont="1" applyBorder="1" applyAlignment="1">
      <alignment horizontal="right" vertical="top"/>
    </xf>
    <xf numFmtId="3" fontId="6" fillId="0" borderId="289" xfId="2" applyNumberFormat="1" applyFont="1" applyBorder="1" applyAlignment="1">
      <alignment horizontal="right" vertical="top"/>
    </xf>
    <xf numFmtId="3" fontId="11" fillId="0" borderId="11" xfId="0" applyNumberFormat="1" applyFont="1" applyBorder="1" applyAlignment="1">
      <alignment horizontal="right" vertical="top"/>
    </xf>
    <xf numFmtId="3" fontId="11" fillId="0" borderId="8" xfId="0" applyNumberFormat="1" applyFont="1" applyBorder="1" applyAlignment="1">
      <alignment horizontal="right" vertical="top"/>
    </xf>
    <xf numFmtId="3" fontId="6" fillId="0" borderId="8" xfId="2" applyNumberFormat="1" applyFont="1" applyFill="1" applyBorder="1" applyAlignment="1">
      <alignment horizontal="right" vertical="top"/>
    </xf>
    <xf numFmtId="3" fontId="11" fillId="0" borderId="6" xfId="0" applyNumberFormat="1" applyFont="1" applyBorder="1" applyAlignment="1">
      <alignment horizontal="right" vertical="top"/>
    </xf>
    <xf numFmtId="3" fontId="6" fillId="0" borderId="315" xfId="0" applyNumberFormat="1" applyFont="1" applyBorder="1" applyAlignment="1">
      <alignment horizontal="right" vertical="top"/>
    </xf>
    <xf numFmtId="3" fontId="6" fillId="0" borderId="289" xfId="0" applyNumberFormat="1" applyFont="1" applyBorder="1" applyAlignment="1">
      <alignment horizontal="right" vertical="top"/>
    </xf>
    <xf numFmtId="3" fontId="6" fillId="0" borderId="435" xfId="0" applyNumberFormat="1" applyFont="1" applyBorder="1" applyAlignment="1">
      <alignment horizontal="right" vertical="top"/>
    </xf>
    <xf numFmtId="3" fontId="6" fillId="0" borderId="436" xfId="0" applyNumberFormat="1" applyFont="1" applyBorder="1" applyAlignment="1">
      <alignment horizontal="right" vertical="top"/>
    </xf>
    <xf numFmtId="172" fontId="6" fillId="61" borderId="417" xfId="0" applyNumberFormat="1" applyFont="1" applyFill="1" applyBorder="1" applyAlignment="1">
      <alignment horizontal="center" vertical="center"/>
    </xf>
    <xf numFmtId="3" fontId="11" fillId="0" borderId="310" xfId="0" applyNumberFormat="1" applyFont="1" applyBorder="1" applyAlignment="1">
      <alignment horizontal="center" vertical="center"/>
    </xf>
    <xf numFmtId="3" fontId="11" fillId="0" borderId="413" xfId="0" applyNumberFormat="1" applyFont="1" applyBorder="1" applyAlignment="1">
      <alignment horizontal="center" vertical="center"/>
    </xf>
    <xf numFmtId="3" fontId="11" fillId="0" borderId="437" xfId="0" applyNumberFormat="1" applyFont="1" applyBorder="1" applyAlignment="1">
      <alignment horizontal="center" vertical="center"/>
    </xf>
    <xf numFmtId="172" fontId="6" fillId="61" borderId="439" xfId="0" applyNumberFormat="1" applyFont="1" applyFill="1" applyBorder="1" applyAlignment="1">
      <alignment horizontal="center" vertical="center"/>
    </xf>
    <xf numFmtId="172" fontId="6" fillId="61" borderId="438" xfId="0" applyNumberFormat="1" applyFont="1" applyFill="1" applyBorder="1" applyAlignment="1">
      <alignment horizontal="center" vertical="center"/>
    </xf>
    <xf numFmtId="3" fontId="11" fillId="0" borderId="440" xfId="0" applyNumberFormat="1" applyFont="1" applyBorder="1" applyAlignment="1">
      <alignment horizontal="center" vertical="center"/>
    </xf>
    <xf numFmtId="172" fontId="6" fillId="61" borderId="287" xfId="0" applyNumberFormat="1" applyFont="1" applyFill="1" applyBorder="1" applyAlignment="1">
      <alignment horizontal="center" vertical="center"/>
    </xf>
    <xf numFmtId="3" fontId="11" fillId="3" borderId="441" xfId="0" applyNumberFormat="1" applyFont="1" applyFill="1" applyBorder="1" applyAlignment="1">
      <alignment horizontal="center" vertical="center"/>
    </xf>
    <xf numFmtId="3" fontId="11" fillId="3" borderId="442" xfId="0" applyNumberFormat="1" applyFont="1" applyFill="1" applyBorder="1" applyAlignment="1">
      <alignment horizontal="center" vertical="center"/>
    </xf>
    <xf numFmtId="3" fontId="11" fillId="3" borderId="310" xfId="0" applyNumberFormat="1" applyFont="1" applyFill="1" applyBorder="1" applyAlignment="1">
      <alignment horizontal="center" vertical="center"/>
    </xf>
    <xf numFmtId="3" fontId="11" fillId="3" borderId="413" xfId="0" applyNumberFormat="1" applyFont="1" applyFill="1" applyBorder="1" applyAlignment="1">
      <alignment horizontal="center" vertical="center"/>
    </xf>
    <xf numFmtId="3" fontId="6" fillId="0" borderId="403" xfId="0" applyNumberFormat="1" applyFont="1" applyBorder="1" applyAlignment="1">
      <alignment horizontal="right" vertical="top"/>
    </xf>
    <xf numFmtId="3" fontId="6" fillId="0" borderId="29" xfId="0" applyNumberFormat="1" applyFont="1" applyBorder="1" applyAlignment="1">
      <alignment horizontal="right" vertical="top" wrapText="1"/>
    </xf>
    <xf numFmtId="3" fontId="6" fillId="0" borderId="169" xfId="0" applyNumberFormat="1" applyFont="1" applyBorder="1" applyAlignment="1">
      <alignment horizontal="right" vertical="top" wrapText="1"/>
    </xf>
    <xf numFmtId="172" fontId="6" fillId="61" borderId="409" xfId="0" applyNumberFormat="1" applyFont="1" applyFill="1" applyBorder="1" applyAlignment="1">
      <alignment horizontal="center" vertical="center"/>
    </xf>
    <xf numFmtId="172" fontId="6" fillId="61" borderId="420" xfId="0" applyNumberFormat="1" applyFont="1" applyFill="1" applyBorder="1" applyAlignment="1">
      <alignment horizontal="center" vertical="center"/>
    </xf>
    <xf numFmtId="172" fontId="6" fillId="61" borderId="268" xfId="0" applyNumberFormat="1" applyFont="1" applyFill="1" applyBorder="1" applyAlignment="1">
      <alignment horizontal="center" vertical="center"/>
    </xf>
    <xf numFmtId="172" fontId="6" fillId="61" borderId="443" xfId="0" applyNumberFormat="1" applyFont="1" applyFill="1" applyBorder="1" applyAlignment="1">
      <alignment horizontal="center" vertical="center"/>
    </xf>
    <xf numFmtId="172" fontId="6" fillId="61" borderId="411" xfId="0" applyNumberFormat="1" applyFont="1" applyFill="1" applyBorder="1" applyAlignment="1">
      <alignment horizontal="center" vertical="center"/>
    </xf>
    <xf numFmtId="3" fontId="11" fillId="0" borderId="442" xfId="0" applyNumberFormat="1" applyFont="1" applyBorder="1" applyAlignment="1">
      <alignment horizontal="center" vertical="center"/>
    </xf>
    <xf numFmtId="3" fontId="6" fillId="0" borderId="11" xfId="0" applyNumberFormat="1" applyFont="1" applyBorder="1" applyAlignment="1">
      <alignment horizontal="right" vertical="top"/>
    </xf>
    <xf numFmtId="3" fontId="6" fillId="0" borderId="428" xfId="0" applyNumberFormat="1" applyFont="1" applyBorder="1" applyAlignment="1">
      <alignment horizontal="right" vertical="top"/>
    </xf>
    <xf numFmtId="3" fontId="6" fillId="0" borderId="398" xfId="0" applyNumberFormat="1" applyFont="1" applyBorder="1" applyAlignment="1">
      <alignment horizontal="right" vertical="top"/>
    </xf>
    <xf numFmtId="3" fontId="6" fillId="0" borderId="398" xfId="2" applyNumberFormat="1" applyFont="1" applyFill="1" applyBorder="1" applyAlignment="1">
      <alignment horizontal="right" vertical="top"/>
    </xf>
    <xf numFmtId="3" fontId="6" fillId="0" borderId="445" xfId="0" applyNumberFormat="1" applyFont="1" applyBorder="1" applyAlignment="1">
      <alignment horizontal="right" vertical="top"/>
    </xf>
    <xf numFmtId="3" fontId="6" fillId="0" borderId="430" xfId="0" applyNumberFormat="1" applyFont="1" applyBorder="1" applyAlignment="1">
      <alignment horizontal="right" vertical="top"/>
    </xf>
    <xf numFmtId="172" fontId="6" fillId="61" borderId="442" xfId="0" applyNumberFormat="1" applyFont="1" applyFill="1" applyBorder="1" applyAlignment="1">
      <alignment horizontal="center" vertical="center"/>
    </xf>
    <xf numFmtId="3" fontId="6" fillId="0" borderId="283" xfId="0" applyNumberFormat="1" applyFont="1" applyBorder="1" applyAlignment="1">
      <alignment horizontal="right" vertical="top"/>
    </xf>
    <xf numFmtId="3" fontId="6" fillId="0" borderId="277" xfId="0" applyNumberFormat="1" applyFont="1" applyBorder="1" applyAlignment="1">
      <alignment horizontal="right" vertical="top"/>
    </xf>
    <xf numFmtId="3" fontId="6" fillId="0" borderId="277" xfId="2" applyNumberFormat="1" applyFont="1" applyFill="1" applyBorder="1" applyAlignment="1">
      <alignment horizontal="right" vertical="top"/>
    </xf>
    <xf numFmtId="3" fontId="6" fillId="0" borderId="276" xfId="0" applyNumberFormat="1" applyFont="1" applyBorder="1" applyAlignment="1">
      <alignment horizontal="right" vertical="top"/>
    </xf>
    <xf numFmtId="3" fontId="6" fillId="0" borderId="446" xfId="0" applyNumberFormat="1" applyFont="1" applyBorder="1" applyAlignment="1">
      <alignment horizontal="right" vertical="top"/>
    </xf>
    <xf numFmtId="3" fontId="6" fillId="0" borderId="447" xfId="0" applyNumberFormat="1" applyFont="1" applyBorder="1" applyAlignment="1">
      <alignment horizontal="right" vertical="top"/>
    </xf>
    <xf numFmtId="172" fontId="6" fillId="61" borderId="419" xfId="0" applyNumberFormat="1" applyFont="1" applyFill="1" applyBorder="1" applyAlignment="1">
      <alignment horizontal="center" vertical="center"/>
    </xf>
    <xf numFmtId="172" fontId="6" fillId="61" borderId="423" xfId="0" applyNumberFormat="1" applyFont="1" applyFill="1" applyBorder="1" applyAlignment="1">
      <alignment horizontal="center" vertical="center"/>
    </xf>
    <xf numFmtId="172" fontId="6" fillId="61" borderId="264" xfId="0" applyNumberFormat="1" applyFont="1" applyFill="1" applyBorder="1" applyAlignment="1">
      <alignment horizontal="center" vertical="center"/>
    </xf>
    <xf numFmtId="3" fontId="11" fillId="3" borderId="447" xfId="0" applyNumberFormat="1" applyFont="1" applyFill="1" applyBorder="1" applyAlignment="1">
      <alignment horizontal="center" vertical="center"/>
    </xf>
    <xf numFmtId="172" fontId="11" fillId="4" borderId="11" xfId="3" applyNumberFormat="1" applyFont="1" applyFill="1" applyBorder="1" applyAlignment="1">
      <alignment horizontal="center" vertical="center"/>
    </xf>
    <xf numFmtId="172" fontId="11" fillId="4" borderId="0" xfId="3" applyNumberFormat="1" applyFont="1" applyFill="1" applyBorder="1" applyAlignment="1">
      <alignment horizontal="center" vertical="center"/>
    </xf>
    <xf numFmtId="172" fontId="11" fillId="4" borderId="30" xfId="3" applyNumberFormat="1" applyFont="1" applyFill="1" applyBorder="1" applyAlignment="1">
      <alignment horizontal="center" vertical="center"/>
    </xf>
    <xf numFmtId="172" fontId="11" fillId="4" borderId="286" xfId="3" applyNumberFormat="1" applyFont="1" applyFill="1" applyBorder="1" applyAlignment="1">
      <alignment horizontal="center" vertical="center"/>
    </xf>
    <xf numFmtId="172" fontId="11" fillId="4" borderId="311" xfId="3" applyNumberFormat="1" applyFont="1" applyFill="1" applyBorder="1" applyAlignment="1">
      <alignment horizontal="center" vertical="center"/>
    </xf>
    <xf numFmtId="172" fontId="11" fillId="4" borderId="305" xfId="3" applyNumberFormat="1" applyFont="1" applyFill="1" applyBorder="1" applyAlignment="1">
      <alignment horizontal="center" vertical="center"/>
    </xf>
    <xf numFmtId="172" fontId="11" fillId="4" borderId="427" xfId="3" applyNumberFormat="1" applyFont="1" applyFill="1" applyBorder="1" applyAlignment="1">
      <alignment horizontal="center" vertical="center"/>
    </xf>
    <xf numFmtId="172" fontId="6" fillId="71" borderId="421" xfId="0" applyNumberFormat="1" applyFont="1" applyFill="1" applyBorder="1" applyAlignment="1">
      <alignment horizontal="center" vertical="center"/>
    </xf>
    <xf numFmtId="172" fontId="6" fillId="71" borderId="432" xfId="0" applyNumberFormat="1" applyFont="1" applyFill="1" applyBorder="1" applyAlignment="1">
      <alignment horizontal="center" vertical="center"/>
    </xf>
    <xf numFmtId="0" fontId="6" fillId="0" borderId="3" xfId="0" applyFont="1" applyBorder="1"/>
    <xf numFmtId="172" fontId="6" fillId="71" borderId="268" xfId="0" applyNumberFormat="1" applyFont="1" applyFill="1" applyBorder="1" applyAlignment="1">
      <alignment horizontal="center" vertical="center"/>
    </xf>
    <xf numFmtId="172" fontId="6" fillId="71" borderId="285" xfId="0" applyNumberFormat="1" applyFont="1" applyFill="1" applyBorder="1" applyAlignment="1">
      <alignment horizontal="center" vertical="center"/>
    </xf>
    <xf numFmtId="172" fontId="6" fillId="71" borderId="443" xfId="0" applyNumberFormat="1" applyFont="1" applyFill="1" applyBorder="1" applyAlignment="1">
      <alignment horizontal="center" vertical="center"/>
    </xf>
    <xf numFmtId="0" fontId="6" fillId="0" borderId="403" xfId="0" applyFont="1" applyBorder="1"/>
    <xf numFmtId="0" fontId="6" fillId="0" borderId="416" xfId="0" applyFont="1" applyBorder="1"/>
    <xf numFmtId="0" fontId="6" fillId="0" borderId="413" xfId="0" applyFont="1" applyBorder="1"/>
    <xf numFmtId="172" fontId="6" fillId="61" borderId="310" xfId="0" applyNumberFormat="1" applyFont="1" applyFill="1" applyBorder="1" applyAlignment="1">
      <alignment horizontal="center" vertical="center"/>
    </xf>
    <xf numFmtId="3" fontId="26" fillId="59" borderId="296" xfId="0" applyNumberFormat="1" applyFont="1" applyFill="1" applyBorder="1" applyAlignment="1">
      <alignment horizontal="center" vertical="center" wrapText="1"/>
    </xf>
    <xf numFmtId="172" fontId="6" fillId="61" borderId="441" xfId="0" applyNumberFormat="1" applyFont="1" applyFill="1" applyBorder="1" applyAlignment="1">
      <alignment horizontal="center" vertical="center"/>
    </xf>
    <xf numFmtId="0" fontId="18" fillId="2" borderId="101" xfId="0" applyFont="1" applyFill="1" applyBorder="1" applyAlignment="1">
      <alignment horizontal="center" vertical="center"/>
    </xf>
    <xf numFmtId="3" fontId="26" fillId="59" borderId="449" xfId="0" applyNumberFormat="1" applyFont="1" applyFill="1" applyBorder="1" applyAlignment="1">
      <alignment horizontal="center" vertical="center" wrapText="1"/>
    </xf>
    <xf numFmtId="0" fontId="18" fillId="2" borderId="11" xfId="0" applyFont="1" applyFill="1" applyBorder="1" applyAlignment="1">
      <alignment horizontal="center" vertical="center"/>
    </xf>
    <xf numFmtId="3" fontId="11" fillId="3" borderId="435" xfId="3" applyNumberFormat="1" applyFont="1" applyFill="1" applyBorder="1" applyAlignment="1">
      <alignment horizontal="center" vertical="center"/>
    </xf>
    <xf numFmtId="3" fontId="11" fillId="3" borderId="315" xfId="3" applyNumberFormat="1" applyFont="1" applyFill="1" applyBorder="1" applyAlignment="1">
      <alignment horizontal="center" vertical="center"/>
    </xf>
    <xf numFmtId="3" fontId="11" fillId="3" borderId="288" xfId="3" applyNumberFormat="1" applyFont="1" applyFill="1" applyBorder="1" applyAlignment="1">
      <alignment horizontal="center" vertical="center"/>
    </xf>
    <xf numFmtId="3" fontId="11" fillId="3" borderId="309" xfId="3" applyNumberFormat="1" applyFont="1" applyFill="1" applyBorder="1" applyAlignment="1">
      <alignment horizontal="center" vertical="center"/>
    </xf>
    <xf numFmtId="3" fontId="11" fillId="3" borderId="451" xfId="3" applyNumberFormat="1" applyFont="1" applyFill="1" applyBorder="1" applyAlignment="1">
      <alignment horizontal="center" vertical="center"/>
    </xf>
    <xf numFmtId="3" fontId="11" fillId="3" borderId="430" xfId="3" applyNumberFormat="1" applyFont="1" applyFill="1" applyBorder="1" applyAlignment="1">
      <alignment horizontal="center" vertical="center"/>
    </xf>
    <xf numFmtId="3" fontId="11" fillId="3" borderId="428" xfId="3" applyNumberFormat="1" applyFont="1" applyFill="1" applyBorder="1" applyAlignment="1">
      <alignment horizontal="center" vertical="center"/>
    </xf>
    <xf numFmtId="3" fontId="11" fillId="3" borderId="445" xfId="3" applyNumberFormat="1" applyFont="1" applyFill="1" applyBorder="1" applyAlignment="1">
      <alignment horizontal="center" vertical="center"/>
    </xf>
    <xf numFmtId="3" fontId="11" fillId="3" borderId="418" xfId="3" applyNumberFormat="1" applyFont="1" applyFill="1" applyBorder="1" applyAlignment="1">
      <alignment horizontal="center" vertical="center"/>
    </xf>
    <xf numFmtId="3" fontId="11" fillId="3" borderId="296" xfId="3" applyNumberFormat="1" applyFont="1" applyFill="1" applyBorder="1" applyAlignment="1">
      <alignment horizontal="center" vertical="center"/>
    </xf>
    <xf numFmtId="3" fontId="11" fillId="3" borderId="450" xfId="3" applyNumberFormat="1" applyFont="1" applyFill="1" applyBorder="1" applyAlignment="1">
      <alignment horizontal="center" vertical="center"/>
    </xf>
    <xf numFmtId="3" fontId="11" fillId="3" borderId="429" xfId="3" applyNumberFormat="1" applyFont="1" applyFill="1" applyBorder="1" applyAlignment="1">
      <alignment horizontal="center" vertical="center"/>
    </xf>
    <xf numFmtId="3" fontId="11" fillId="3" borderId="452" xfId="3" applyNumberFormat="1" applyFont="1" applyFill="1" applyBorder="1" applyAlignment="1">
      <alignment horizontal="center" vertical="center"/>
    </xf>
    <xf numFmtId="3" fontId="11" fillId="3" borderId="425" xfId="3" applyNumberFormat="1" applyFont="1" applyFill="1" applyBorder="1" applyAlignment="1">
      <alignment horizontal="center" vertical="center"/>
    </xf>
    <xf numFmtId="3" fontId="11" fillId="3" borderId="453" xfId="3" applyNumberFormat="1" applyFont="1" applyFill="1" applyBorder="1" applyAlignment="1">
      <alignment horizontal="center" vertical="center"/>
    </xf>
    <xf numFmtId="3" fontId="11" fillId="3" borderId="276" xfId="3" applyNumberFormat="1" applyFont="1" applyFill="1" applyBorder="1" applyAlignment="1">
      <alignment horizontal="center" vertical="center"/>
    </xf>
    <xf numFmtId="3" fontId="11" fillId="3" borderId="283" xfId="3" applyNumberFormat="1" applyFont="1" applyFill="1" applyBorder="1" applyAlignment="1">
      <alignment horizontal="center" vertical="center"/>
    </xf>
    <xf numFmtId="3" fontId="11" fillId="3" borderId="252" xfId="3" applyNumberFormat="1" applyFont="1" applyFill="1" applyBorder="1" applyAlignment="1">
      <alignment horizontal="center" vertical="center"/>
    </xf>
    <xf numFmtId="3" fontId="11" fillId="3" borderId="454" xfId="3" applyNumberFormat="1" applyFont="1" applyFill="1" applyBorder="1" applyAlignment="1">
      <alignment horizontal="center" vertical="center"/>
    </xf>
    <xf numFmtId="3" fontId="11" fillId="3" borderId="455" xfId="3" applyNumberFormat="1" applyFont="1" applyFill="1" applyBorder="1" applyAlignment="1">
      <alignment horizontal="center" vertical="center"/>
    </xf>
    <xf numFmtId="3" fontId="11" fillId="3" borderId="407" xfId="3" applyNumberFormat="1" applyFont="1" applyFill="1" applyBorder="1" applyAlignment="1">
      <alignment horizontal="center" vertical="center"/>
    </xf>
    <xf numFmtId="3" fontId="6" fillId="3" borderId="2" xfId="0" applyNumberFormat="1" applyFont="1" applyFill="1" applyBorder="1" applyAlignment="1">
      <alignment horizontal="center" vertical="center" wrapText="1"/>
    </xf>
    <xf numFmtId="3" fontId="6" fillId="72" borderId="28" xfId="0" applyNumberFormat="1" applyFont="1" applyFill="1" applyBorder="1" applyAlignment="1">
      <alignment horizontal="right" vertical="center" wrapText="1"/>
    </xf>
    <xf numFmtId="3" fontId="6" fillId="73" borderId="12" xfId="0" applyNumberFormat="1" applyFont="1" applyFill="1" applyBorder="1" applyAlignment="1">
      <alignment horizontal="right" vertical="center" wrapText="1"/>
    </xf>
    <xf numFmtId="3" fontId="6" fillId="72" borderId="1" xfId="0" applyNumberFormat="1" applyFont="1" applyFill="1" applyBorder="1" applyAlignment="1">
      <alignment horizontal="right" vertical="center" wrapText="1"/>
    </xf>
    <xf numFmtId="3" fontId="6" fillId="73" borderId="1" xfId="0" applyNumberFormat="1" applyFont="1" applyFill="1" applyBorder="1" applyAlignment="1">
      <alignment horizontal="right" vertical="center" wrapText="1"/>
    </xf>
    <xf numFmtId="3" fontId="6" fillId="73" borderId="2" xfId="0" applyNumberFormat="1" applyFont="1" applyFill="1" applyBorder="1" applyAlignment="1">
      <alignment horizontal="right" vertical="center" wrapText="1"/>
    </xf>
    <xf numFmtId="3" fontId="6" fillId="72" borderId="34" xfId="0" applyNumberFormat="1" applyFont="1" applyFill="1" applyBorder="1" applyAlignment="1">
      <alignment horizontal="right" vertical="center" wrapText="1"/>
    </xf>
    <xf numFmtId="3" fontId="6" fillId="73" borderId="34" xfId="0" applyNumberFormat="1" applyFont="1" applyFill="1" applyBorder="1" applyAlignment="1">
      <alignment horizontal="right" vertical="center" wrapText="1"/>
    </xf>
    <xf numFmtId="3" fontId="6" fillId="73" borderId="9" xfId="0" applyNumberFormat="1" applyFont="1" applyFill="1" applyBorder="1" applyAlignment="1">
      <alignment horizontal="right" vertical="center" wrapText="1"/>
    </xf>
    <xf numFmtId="3" fontId="7" fillId="74" borderId="28" xfId="0" applyNumberFormat="1" applyFont="1" applyFill="1" applyBorder="1" applyAlignment="1">
      <alignment horizontal="right" vertical="center" wrapText="1"/>
    </xf>
    <xf numFmtId="3" fontId="7" fillId="75" borderId="12" xfId="0" applyNumberFormat="1" applyFont="1" applyFill="1" applyBorder="1" applyAlignment="1">
      <alignment horizontal="right" vertical="center" wrapText="1"/>
    </xf>
    <xf numFmtId="3" fontId="7" fillId="74" borderId="34" xfId="0" applyNumberFormat="1" applyFont="1" applyFill="1" applyBorder="1" applyAlignment="1">
      <alignment horizontal="right" vertical="center" wrapText="1"/>
    </xf>
    <xf numFmtId="3" fontId="6" fillId="73" borderId="82" xfId="0" applyNumberFormat="1" applyFont="1" applyFill="1" applyBorder="1" applyAlignment="1">
      <alignment horizontal="right" vertical="center" wrapText="1"/>
    </xf>
    <xf numFmtId="4" fontId="6" fillId="72" borderId="1" xfId="0" applyNumberFormat="1" applyFont="1" applyFill="1" applyBorder="1" applyAlignment="1">
      <alignment horizontal="right" vertical="center" wrapText="1"/>
    </xf>
    <xf numFmtId="3" fontId="6" fillId="73" borderId="85" xfId="0" applyNumberFormat="1" applyFont="1" applyFill="1" applyBorder="1" applyAlignment="1">
      <alignment horizontal="right" vertical="center" wrapText="1"/>
    </xf>
    <xf numFmtId="3" fontId="6" fillId="73" borderId="55" xfId="0" applyNumberFormat="1" applyFont="1" applyFill="1" applyBorder="1" applyAlignment="1">
      <alignment horizontal="right" vertical="center" wrapText="1"/>
    </xf>
    <xf numFmtId="3" fontId="7" fillId="75" borderId="5" xfId="0" applyNumberFormat="1" applyFont="1" applyFill="1" applyBorder="1" applyAlignment="1">
      <alignment horizontal="right" vertical="center" wrapText="1"/>
    </xf>
    <xf numFmtId="3" fontId="7" fillId="75" borderId="29" xfId="0" applyNumberFormat="1" applyFont="1" applyFill="1" applyBorder="1" applyAlignment="1">
      <alignment horizontal="right" vertical="center" wrapText="1"/>
    </xf>
    <xf numFmtId="3" fontId="6" fillId="73" borderId="5" xfId="0" applyNumberFormat="1" applyFont="1" applyFill="1" applyBorder="1" applyAlignment="1">
      <alignment horizontal="right" vertical="center" wrapText="1"/>
    </xf>
    <xf numFmtId="175" fontId="6" fillId="73" borderId="1" xfId="0" applyNumberFormat="1" applyFont="1" applyFill="1" applyBorder="1" applyAlignment="1">
      <alignment horizontal="right" vertical="center" wrapText="1"/>
    </xf>
    <xf numFmtId="3" fontId="7" fillId="75" borderId="9" xfId="0" applyNumberFormat="1" applyFont="1" applyFill="1" applyBorder="1" applyAlignment="1">
      <alignment horizontal="right" vertical="center" wrapText="1"/>
    </xf>
    <xf numFmtId="4" fontId="6" fillId="73" borderId="2" xfId="0" applyNumberFormat="1" applyFont="1" applyFill="1" applyBorder="1" applyAlignment="1">
      <alignment horizontal="right" vertical="center" wrapText="1"/>
    </xf>
    <xf numFmtId="3" fontId="6" fillId="72" borderId="8" xfId="0" applyNumberFormat="1" applyFont="1" applyFill="1" applyBorder="1" applyAlignment="1">
      <alignment horizontal="right" vertical="center" wrapText="1"/>
    </xf>
    <xf numFmtId="3" fontId="6" fillId="73" borderId="10" xfId="0" applyNumberFormat="1" applyFont="1" applyFill="1" applyBorder="1" applyAlignment="1">
      <alignment horizontal="right" vertical="center" wrapText="1"/>
    </xf>
    <xf numFmtId="0" fontId="6" fillId="0" borderId="412" xfId="0" applyFont="1" applyBorder="1" applyAlignment="1">
      <alignment horizontal="left" vertical="top" wrapText="1"/>
    </xf>
    <xf numFmtId="0" fontId="6" fillId="0" borderId="311" xfId="0" applyFont="1" applyBorder="1" applyAlignment="1">
      <alignment horizontal="left" vertical="top" wrapText="1"/>
    </xf>
    <xf numFmtId="3" fontId="11" fillId="3" borderId="446" xfId="3" applyNumberFormat="1" applyFont="1" applyFill="1" applyBorder="1" applyAlignment="1">
      <alignment horizontal="center" vertical="center"/>
    </xf>
    <xf numFmtId="0" fontId="6" fillId="0" borderId="428" xfId="0" applyFont="1" applyBorder="1" applyAlignment="1">
      <alignment horizontal="left" vertical="top" wrapText="1"/>
    </xf>
    <xf numFmtId="0" fontId="6" fillId="0" borderId="411" xfId="0" applyFont="1" applyBorder="1" applyAlignment="1">
      <alignment horizontal="left" vertical="top" wrapText="1"/>
    </xf>
    <xf numFmtId="10" fontId="6" fillId="4" borderId="29" xfId="3" applyNumberFormat="1" applyFont="1" applyFill="1" applyBorder="1" applyAlignment="1">
      <alignment horizontal="right" vertical="top"/>
    </xf>
    <xf numFmtId="10" fontId="6" fillId="4" borderId="52" xfId="3" applyNumberFormat="1" applyFont="1" applyFill="1" applyBorder="1" applyAlignment="1">
      <alignment horizontal="right" vertical="top"/>
    </xf>
    <xf numFmtId="3" fontId="6" fillId="3" borderId="41" xfId="0" applyNumberFormat="1" applyFont="1" applyFill="1" applyBorder="1" applyAlignment="1">
      <alignment horizontal="right" vertical="top"/>
    </xf>
    <xf numFmtId="3" fontId="6" fillId="3" borderId="131" xfId="0" applyNumberFormat="1" applyFont="1" applyFill="1" applyBorder="1" applyAlignment="1">
      <alignment horizontal="right" vertical="top"/>
    </xf>
    <xf numFmtId="0" fontId="6" fillId="3" borderId="321" xfId="0" applyFont="1" applyFill="1" applyBorder="1" applyAlignment="1">
      <alignment horizontal="left" vertical="top" wrapText="1"/>
    </xf>
    <xf numFmtId="0" fontId="6" fillId="3" borderId="428" xfId="0" applyFont="1" applyFill="1" applyBorder="1" applyAlignment="1">
      <alignment horizontal="left" vertical="top" wrapText="1"/>
    </xf>
    <xf numFmtId="10" fontId="6" fillId="4" borderId="8" xfId="3" applyNumberFormat="1" applyFont="1" applyFill="1" applyBorder="1" applyAlignment="1">
      <alignment horizontal="right" vertical="top"/>
    </xf>
    <xf numFmtId="10" fontId="6" fillId="4" borderId="9" xfId="3" applyNumberFormat="1" applyFont="1" applyFill="1" applyBorder="1" applyAlignment="1">
      <alignment horizontal="right" vertical="top"/>
    </xf>
    <xf numFmtId="10" fontId="6" fillId="4" borderId="11" xfId="3" applyNumberFormat="1" applyFont="1" applyFill="1" applyBorder="1" applyAlignment="1">
      <alignment horizontal="right" vertical="top"/>
    </xf>
    <xf numFmtId="0" fontId="11" fillId="55" borderId="154" xfId="0" applyFont="1" applyFill="1" applyBorder="1" applyAlignment="1">
      <alignment horizontal="left" vertical="center"/>
    </xf>
    <xf numFmtId="172" fontId="11" fillId="0" borderId="84" xfId="3" applyNumberFormat="1" applyFont="1" applyFill="1" applyBorder="1" applyAlignment="1">
      <alignment horizontal="center" vertical="center"/>
    </xf>
    <xf numFmtId="3" fontId="11" fillId="4" borderId="22" xfId="0" applyNumberFormat="1" applyFont="1" applyFill="1" applyBorder="1" applyAlignment="1">
      <alignment horizontal="center" vertical="center"/>
    </xf>
    <xf numFmtId="3" fontId="11" fillId="4" borderId="83" xfId="0" applyNumberFormat="1" applyFont="1" applyFill="1" applyBorder="1" applyAlignment="1">
      <alignment horizontal="center" vertical="center"/>
    </xf>
    <xf numFmtId="172" fontId="11" fillId="4" borderId="127" xfId="3" applyNumberFormat="1" applyFont="1" applyFill="1" applyBorder="1" applyAlignment="1">
      <alignment horizontal="center" vertical="center"/>
    </xf>
    <xf numFmtId="172" fontId="11" fillId="4" borderId="439" xfId="3" applyNumberFormat="1" applyFont="1" applyFill="1" applyBorder="1" applyAlignment="1">
      <alignment horizontal="center" vertical="center"/>
    </xf>
    <xf numFmtId="3" fontId="11" fillId="4" borderId="256" xfId="0" applyNumberFormat="1" applyFont="1" applyFill="1" applyBorder="1" applyAlignment="1">
      <alignment horizontal="center" vertical="center"/>
    </xf>
    <xf numFmtId="172" fontId="11" fillId="4" borderId="313" xfId="3" applyNumberFormat="1" applyFont="1" applyFill="1" applyBorder="1" applyAlignment="1">
      <alignment horizontal="center" vertical="center"/>
    </xf>
    <xf numFmtId="172" fontId="11" fillId="4" borderId="289" xfId="3" applyNumberFormat="1" applyFont="1" applyFill="1" applyBorder="1" applyAlignment="1">
      <alignment horizontal="center" vertical="center"/>
    </xf>
    <xf numFmtId="0" fontId="18" fillId="3" borderId="0" xfId="0" applyFont="1" applyFill="1" applyAlignment="1">
      <alignment horizontal="center" vertical="top"/>
    </xf>
    <xf numFmtId="172" fontId="144" fillId="54" borderId="85" xfId="0" applyNumberFormat="1" applyFont="1" applyFill="1" applyBorder="1" applyAlignment="1">
      <alignment horizontal="center" vertical="center"/>
    </xf>
    <xf numFmtId="3" fontId="26" fillId="76" borderId="90" xfId="0" applyNumberFormat="1" applyFont="1" applyFill="1" applyBorder="1" applyAlignment="1">
      <alignment horizontal="center" vertical="center" wrapText="1"/>
    </xf>
    <xf numFmtId="3" fontId="26" fillId="76" borderId="83" xfId="0" applyNumberFormat="1" applyFont="1" applyFill="1" applyBorder="1" applyAlignment="1">
      <alignment horizontal="center" vertical="center" wrapText="1"/>
    </xf>
    <xf numFmtId="0" fontId="26" fillId="76" borderId="90" xfId="0" applyFont="1" applyFill="1" applyBorder="1" applyAlignment="1">
      <alignment horizontal="center" vertical="center" wrapText="1"/>
    </xf>
    <xf numFmtId="0" fontId="26" fillId="76" borderId="127" xfId="0" applyFont="1" applyFill="1" applyBorder="1" applyAlignment="1">
      <alignment horizontal="center" vertical="center" wrapText="1"/>
    </xf>
    <xf numFmtId="3" fontId="26" fillId="76" borderId="402" xfId="0" applyNumberFormat="1" applyFont="1" applyFill="1" applyBorder="1" applyAlignment="1">
      <alignment horizontal="center" vertical="center" wrapText="1"/>
    </xf>
    <xf numFmtId="0" fontId="26" fillId="76" borderId="386" xfId="0" applyFont="1" applyFill="1" applyBorder="1" applyAlignment="1">
      <alignment horizontal="center" vertical="center" wrapText="1"/>
    </xf>
    <xf numFmtId="182" fontId="6" fillId="76" borderId="370" xfId="0" applyNumberFormat="1" applyFont="1" applyFill="1" applyBorder="1" applyAlignment="1">
      <alignment horizontal="center" vertical="center"/>
    </xf>
    <xf numFmtId="182" fontId="6" fillId="76" borderId="371" xfId="0" applyNumberFormat="1" applyFont="1" applyFill="1" applyBorder="1" applyAlignment="1">
      <alignment horizontal="center" vertical="center"/>
    </xf>
    <xf numFmtId="3" fontId="6" fillId="3" borderId="90" xfId="5" applyNumberFormat="1" applyFont="1" applyFill="1" applyBorder="1" applyAlignment="1">
      <alignment horizontal="center" vertical="center"/>
    </xf>
    <xf numFmtId="3" fontId="6" fillId="3" borderId="83" xfId="5" applyNumberFormat="1" applyFont="1" applyFill="1" applyBorder="1" applyAlignment="1">
      <alignment horizontal="center" vertical="center"/>
    </xf>
    <xf numFmtId="3" fontId="6" fillId="3" borderId="22" xfId="0" applyNumberFormat="1" applyFont="1" applyFill="1" applyBorder="1" applyAlignment="1">
      <alignment horizontal="center" vertical="center"/>
    </xf>
    <xf numFmtId="3" fontId="6" fillId="3" borderId="83" xfId="0" applyNumberFormat="1" applyFont="1" applyFill="1" applyBorder="1" applyAlignment="1">
      <alignment horizontal="center" vertical="center"/>
    </xf>
    <xf numFmtId="3" fontId="6" fillId="3" borderId="90" xfId="0" applyNumberFormat="1" applyFont="1" applyFill="1" applyBorder="1" applyAlignment="1">
      <alignment horizontal="center" vertical="center"/>
    </xf>
    <xf numFmtId="182" fontId="21" fillId="76" borderId="486" xfId="0" applyNumberFormat="1" applyFont="1" applyFill="1" applyBorder="1" applyAlignment="1">
      <alignment horizontal="center" vertical="center"/>
    </xf>
    <xf numFmtId="182" fontId="6" fillId="0" borderId="487" xfId="0" applyNumberFormat="1" applyFont="1" applyBorder="1" applyAlignment="1">
      <alignment horizontal="center" vertical="center"/>
    </xf>
    <xf numFmtId="182" fontId="6" fillId="0" borderId="488" xfId="0" applyNumberFormat="1" applyFont="1" applyBorder="1" applyAlignment="1">
      <alignment horizontal="center" vertical="center"/>
    </xf>
    <xf numFmtId="0" fontId="61" fillId="55" borderId="11" xfId="0" applyFont="1" applyFill="1" applyBorder="1" applyAlignment="1">
      <alignment horizontal="center" vertical="center"/>
    </xf>
    <xf numFmtId="0" fontId="7" fillId="0" borderId="0" xfId="0" applyFont="1" applyAlignment="1">
      <alignment horizontal="center" vertical="center" wrapText="1"/>
    </xf>
    <xf numFmtId="173" fontId="6" fillId="3" borderId="10" xfId="1" applyNumberFormat="1" applyFont="1" applyFill="1" applyBorder="1" applyAlignment="1">
      <alignment horizontal="left" vertical="center" wrapText="1"/>
    </xf>
    <xf numFmtId="173" fontId="6" fillId="3" borderId="1" xfId="1" applyNumberFormat="1" applyFont="1" applyFill="1" applyBorder="1" applyAlignment="1">
      <alignment horizontal="left" vertical="center" wrapText="1"/>
    </xf>
    <xf numFmtId="0" fontId="6" fillId="3" borderId="41" xfId="0" applyFont="1" applyFill="1" applyBorder="1" applyAlignment="1">
      <alignment horizontal="left" vertical="center"/>
    </xf>
    <xf numFmtId="173" fontId="6" fillId="3" borderId="18" xfId="1" applyNumberFormat="1" applyFont="1" applyFill="1" applyBorder="1" applyAlignment="1">
      <alignment horizontal="left" vertical="center" wrapText="1"/>
    </xf>
    <xf numFmtId="176" fontId="6" fillId="3" borderId="113" xfId="1" applyNumberFormat="1" applyFont="1" applyFill="1" applyBorder="1" applyAlignment="1">
      <alignment horizontal="left" vertical="center" wrapText="1"/>
    </xf>
    <xf numFmtId="0" fontId="6" fillId="3" borderId="13" xfId="0" applyFont="1" applyFill="1" applyBorder="1" applyAlignment="1">
      <alignment horizontal="left" vertical="center"/>
    </xf>
    <xf numFmtId="0" fontId="6" fillId="57" borderId="162" xfId="0" applyFont="1" applyFill="1" applyBorder="1"/>
    <xf numFmtId="0" fontId="6" fillId="3" borderId="18" xfId="0" applyFont="1" applyFill="1" applyBorder="1" applyAlignment="1">
      <alignment horizontal="left" vertical="center" wrapText="1"/>
    </xf>
    <xf numFmtId="0" fontId="6" fillId="57" borderId="14" xfId="0" applyFont="1" applyFill="1" applyBorder="1"/>
    <xf numFmtId="0" fontId="12" fillId="0" borderId="13" xfId="0" applyFont="1" applyBorder="1" applyAlignment="1">
      <alignment horizontal="left" vertical="center" wrapText="1"/>
    </xf>
    <xf numFmtId="0" fontId="12" fillId="0" borderId="20" xfId="0" applyFont="1" applyBorder="1" applyAlignment="1">
      <alignment horizontal="left" vertical="center" wrapText="1"/>
    </xf>
    <xf numFmtId="0" fontId="134" fillId="0" borderId="21" xfId="0" applyFont="1" applyBorder="1" applyAlignment="1">
      <alignment wrapText="1"/>
    </xf>
    <xf numFmtId="173" fontId="6" fillId="3" borderId="19" xfId="1" applyNumberFormat="1" applyFont="1" applyFill="1" applyBorder="1" applyAlignment="1">
      <alignment horizontal="left" vertical="center" wrapText="1"/>
    </xf>
    <xf numFmtId="173" fontId="6" fillId="3" borderId="92" xfId="1" applyNumberFormat="1" applyFont="1" applyFill="1" applyBorder="1" applyAlignment="1">
      <alignment horizontal="left" vertical="center" wrapText="1"/>
    </xf>
    <xf numFmtId="0" fontId="6" fillId="57" borderId="20" xfId="0" applyFont="1" applyFill="1" applyBorder="1" applyAlignment="1">
      <alignment horizontal="center" vertical="center" wrapText="1"/>
    </xf>
    <xf numFmtId="0" fontId="7" fillId="0" borderId="131" xfId="0" applyFont="1" applyBorder="1" applyAlignment="1">
      <alignment horizontal="center" vertical="center" wrapText="1"/>
    </xf>
    <xf numFmtId="0" fontId="12" fillId="57" borderId="131" xfId="0" applyFont="1" applyFill="1" applyBorder="1" applyAlignment="1">
      <alignment horizontal="left" vertical="center" wrapText="1"/>
    </xf>
    <xf numFmtId="3" fontId="6" fillId="3" borderId="83" xfId="1" applyNumberFormat="1" applyFont="1" applyFill="1" applyBorder="1" applyAlignment="1">
      <alignment horizontal="center" vertical="center"/>
    </xf>
    <xf numFmtId="176" fontId="6" fillId="3" borderId="90" xfId="1" applyNumberFormat="1" applyFont="1" applyFill="1" applyBorder="1" applyAlignment="1">
      <alignment horizontal="center" vertical="center"/>
    </xf>
    <xf numFmtId="176" fontId="6" fillId="3" borderId="83" xfId="1" applyNumberFormat="1" applyFont="1" applyFill="1" applyBorder="1" applyAlignment="1">
      <alignment horizontal="center" vertical="center"/>
    </xf>
    <xf numFmtId="170" fontId="26" fillId="3" borderId="90" xfId="0" applyNumberFormat="1" applyFont="1" applyFill="1" applyBorder="1" applyAlignment="1">
      <alignment horizontal="center" vertical="center" wrapText="1"/>
    </xf>
    <xf numFmtId="170" fontId="26" fillId="3" borderId="83" xfId="0" applyNumberFormat="1" applyFont="1" applyFill="1" applyBorder="1" applyAlignment="1">
      <alignment horizontal="center" vertical="center" wrapText="1"/>
    </xf>
    <xf numFmtId="0" fontId="6" fillId="3" borderId="6" xfId="1" applyNumberFormat="1" applyFont="1" applyFill="1" applyBorder="1" applyAlignment="1">
      <alignment horizontal="center" vertical="center"/>
    </xf>
    <xf numFmtId="0" fontId="6" fillId="3" borderId="401" xfId="1" applyNumberFormat="1" applyFont="1" applyFill="1" applyBorder="1" applyAlignment="1">
      <alignment horizontal="center" vertical="center"/>
    </xf>
    <xf numFmtId="3" fontId="6" fillId="3" borderId="400" xfId="1" applyNumberFormat="1" applyFont="1" applyFill="1" applyBorder="1" applyAlignment="1">
      <alignment horizontal="center" vertical="center"/>
    </xf>
    <xf numFmtId="3" fontId="6" fillId="3" borderId="97" xfId="1" applyNumberFormat="1" applyFont="1" applyFill="1" applyBorder="1" applyAlignment="1">
      <alignment horizontal="center" vertical="center"/>
    </xf>
    <xf numFmtId="3" fontId="6" fillId="3" borderId="375" xfId="1" applyNumberFormat="1" applyFont="1" applyFill="1" applyBorder="1" applyAlignment="1">
      <alignment horizontal="center" vertical="center"/>
    </xf>
    <xf numFmtId="9" fontId="6" fillId="3" borderId="39" xfId="0" applyNumberFormat="1" applyFont="1" applyFill="1" applyBorder="1" applyAlignment="1">
      <alignment horizontal="center" vertical="center" wrapText="1"/>
    </xf>
    <xf numFmtId="9" fontId="6" fillId="3" borderId="127" xfId="0" applyNumberFormat="1" applyFont="1" applyFill="1" applyBorder="1" applyAlignment="1">
      <alignment horizontal="center" vertical="center" wrapText="1"/>
    </xf>
    <xf numFmtId="3" fontId="6" fillId="0" borderId="97" xfId="1" applyNumberFormat="1" applyFont="1" applyFill="1" applyBorder="1" applyAlignment="1">
      <alignment horizontal="center" vertical="center"/>
    </xf>
    <xf numFmtId="176" fontId="6" fillId="0" borderId="83" xfId="1" applyNumberFormat="1" applyFont="1" applyFill="1" applyBorder="1" applyAlignment="1">
      <alignment horizontal="center" vertical="center"/>
    </xf>
    <xf numFmtId="0" fontId="134" fillId="0" borderId="492" xfId="0" applyFont="1" applyBorder="1" applyAlignment="1">
      <alignment wrapText="1"/>
    </xf>
    <xf numFmtId="0" fontId="134" fillId="0" borderId="421" xfId="0" applyFont="1" applyBorder="1" applyAlignment="1">
      <alignment wrapText="1"/>
    </xf>
    <xf numFmtId="0" fontId="134" fillId="0" borderId="432" xfId="0" applyFont="1" applyBorder="1" applyAlignment="1">
      <alignment wrapText="1"/>
    </xf>
    <xf numFmtId="0" fontId="12" fillId="0" borderId="493" xfId="0" applyFont="1" applyBorder="1" applyAlignment="1">
      <alignment horizontal="left" vertical="center" wrapText="1"/>
    </xf>
    <xf numFmtId="0" fontId="12" fillId="0" borderId="494" xfId="0" applyFont="1" applyBorder="1" applyAlignment="1">
      <alignment horizontal="left" vertical="center" wrapText="1"/>
    </xf>
    <xf numFmtId="0" fontId="12" fillId="0" borderId="495" xfId="0" applyFont="1" applyBorder="1" applyAlignment="1">
      <alignment horizontal="left" vertical="center" wrapText="1"/>
    </xf>
    <xf numFmtId="0" fontId="12" fillId="0" borderId="496" xfId="0" applyFont="1" applyBorder="1" applyAlignment="1">
      <alignment horizontal="left" vertical="center" wrapText="1"/>
    </xf>
    <xf numFmtId="0" fontId="12" fillId="0" borderId="424" xfId="0" applyFont="1" applyBorder="1" applyAlignment="1">
      <alignment horizontal="left" vertical="center" wrapText="1"/>
    </xf>
    <xf numFmtId="0" fontId="12" fillId="0" borderId="497" xfId="0" applyFont="1" applyBorder="1" applyAlignment="1">
      <alignment horizontal="left" vertical="center" wrapText="1"/>
    </xf>
    <xf numFmtId="0" fontId="12" fillId="0" borderId="492" xfId="0" applyFont="1" applyBorder="1" applyAlignment="1">
      <alignment horizontal="left" vertical="center" wrapText="1"/>
    </xf>
    <xf numFmtId="0" fontId="12" fillId="0" borderId="421" xfId="0" applyFont="1" applyBorder="1" applyAlignment="1">
      <alignment horizontal="left" vertical="center" wrapText="1"/>
    </xf>
    <xf numFmtId="0" fontId="12" fillId="0" borderId="432" xfId="0" applyFont="1" applyBorder="1" applyAlignment="1">
      <alignment horizontal="left" vertical="center" wrapText="1"/>
    </xf>
    <xf numFmtId="0" fontId="6" fillId="3" borderId="403" xfId="0" applyFont="1" applyFill="1" applyBorder="1" applyAlignment="1">
      <alignment horizontal="left" vertical="center" wrapText="1"/>
    </xf>
    <xf numFmtId="0" fontId="6" fillId="57" borderId="131" xfId="0" applyFont="1" applyFill="1" applyBorder="1"/>
    <xf numFmtId="0" fontId="6" fillId="3" borderId="489" xfId="0" applyFont="1" applyFill="1" applyBorder="1" applyAlignment="1">
      <alignment horizontal="left" vertical="center" wrapText="1"/>
    </xf>
    <xf numFmtId="0" fontId="6" fillId="3" borderId="490" xfId="0" applyFont="1" applyFill="1" applyBorder="1" applyAlignment="1">
      <alignment horizontal="left" vertical="center" wrapText="1"/>
    </xf>
    <xf numFmtId="0" fontId="6" fillId="3" borderId="491" xfId="0" applyFont="1" applyFill="1" applyBorder="1" applyAlignment="1">
      <alignment horizontal="left" vertical="center" wrapText="1"/>
    </xf>
    <xf numFmtId="0" fontId="6" fillId="3" borderId="422" xfId="0" applyFont="1" applyFill="1" applyBorder="1" applyAlignment="1">
      <alignment horizontal="left" vertical="center" wrapText="1"/>
    </xf>
    <xf numFmtId="0" fontId="6" fillId="3" borderId="442" xfId="0" applyFont="1" applyFill="1" applyBorder="1" applyAlignment="1">
      <alignment horizontal="left" vertical="center" wrapText="1"/>
    </xf>
    <xf numFmtId="0" fontId="6" fillId="3" borderId="448" xfId="0" applyFont="1" applyFill="1" applyBorder="1" applyAlignment="1">
      <alignment horizontal="left" vertical="center" wrapText="1"/>
    </xf>
    <xf numFmtId="0" fontId="6" fillId="3" borderId="286" xfId="0" applyFont="1" applyFill="1" applyBorder="1" applyAlignment="1">
      <alignment horizontal="left" vertical="center" wrapText="1"/>
    </xf>
    <xf numFmtId="0" fontId="6" fillId="3" borderId="427" xfId="0" applyFont="1" applyFill="1" applyBorder="1" applyAlignment="1">
      <alignment horizontal="left" vertical="center" wrapText="1"/>
    </xf>
    <xf numFmtId="0" fontId="26" fillId="0" borderId="83" xfId="0" applyFont="1" applyBorder="1" applyAlignment="1">
      <alignment wrapText="1"/>
    </xf>
    <xf numFmtId="0" fontId="26" fillId="0" borderId="18" xfId="0" applyFont="1" applyBorder="1" applyAlignment="1">
      <alignment wrapText="1"/>
    </xf>
    <xf numFmtId="0" fontId="26" fillId="58" borderId="465" xfId="0" applyFont="1" applyFill="1" applyBorder="1" applyAlignment="1">
      <alignment wrapText="1"/>
    </xf>
    <xf numFmtId="0" fontId="26" fillId="58" borderId="498" xfId="0" applyFont="1" applyFill="1" applyBorder="1" applyAlignment="1">
      <alignment wrapText="1"/>
    </xf>
    <xf numFmtId="0" fontId="26" fillId="58" borderId="499" xfId="0" applyFont="1" applyFill="1" applyBorder="1" applyAlignment="1">
      <alignment wrapText="1"/>
    </xf>
    <xf numFmtId="0" fontId="26" fillId="0" borderId="466" xfId="0" applyFont="1" applyBorder="1" applyAlignment="1">
      <alignment wrapText="1"/>
    </xf>
    <xf numFmtId="0" fontId="26" fillId="0" borderId="83" xfId="0" applyFont="1" applyBorder="1"/>
    <xf numFmtId="0" fontId="26" fillId="0" borderId="472" xfId="0" applyFont="1" applyBorder="1" applyAlignment="1">
      <alignment wrapText="1"/>
    </xf>
    <xf numFmtId="171" fontId="12" fillId="3" borderId="8" xfId="0" applyNumberFormat="1" applyFont="1" applyFill="1" applyBorder="1" applyAlignment="1">
      <alignment horizontal="center" vertical="center"/>
    </xf>
    <xf numFmtId="0" fontId="6" fillId="3" borderId="47" xfId="0" applyFont="1" applyFill="1" applyBorder="1" applyAlignment="1">
      <alignment vertical="center"/>
    </xf>
    <xf numFmtId="164" fontId="26" fillId="3" borderId="47" xfId="0" applyNumberFormat="1" applyFont="1" applyFill="1" applyBorder="1" applyAlignment="1">
      <alignment horizontal="left" vertical="center"/>
    </xf>
    <xf numFmtId="170" fontId="26" fillId="3" borderId="47" xfId="0" applyNumberFormat="1" applyFont="1" applyFill="1" applyBorder="1" applyAlignment="1">
      <alignment horizontal="left" vertical="center"/>
    </xf>
    <xf numFmtId="0" fontId="6" fillId="3" borderId="44" xfId="0" applyFont="1" applyFill="1" applyBorder="1" applyAlignment="1">
      <alignment vertical="center"/>
    </xf>
    <xf numFmtId="182" fontId="21" fillId="3" borderId="484" xfId="0" applyNumberFormat="1" applyFont="1" applyFill="1" applyBorder="1" applyAlignment="1">
      <alignment horizontal="center" vertical="center"/>
    </xf>
    <xf numFmtId="182" fontId="21" fillId="3" borderId="485" xfId="0" applyNumberFormat="1" applyFont="1" applyFill="1" applyBorder="1" applyAlignment="1">
      <alignment horizontal="center" vertical="center"/>
    </xf>
    <xf numFmtId="182" fontId="21" fillId="3" borderId="486" xfId="0" applyNumberFormat="1" applyFont="1" applyFill="1" applyBorder="1" applyAlignment="1">
      <alignment horizontal="center" vertical="center"/>
    </xf>
    <xf numFmtId="182" fontId="21" fillId="3" borderId="259" xfId="0" applyNumberFormat="1" applyFont="1" applyFill="1" applyBorder="1" applyAlignment="1">
      <alignment horizontal="center" vertical="center"/>
    </xf>
    <xf numFmtId="182" fontId="6" fillId="3" borderId="371" xfId="0" applyNumberFormat="1" applyFont="1" applyFill="1" applyBorder="1" applyAlignment="1">
      <alignment horizontal="center" vertical="center"/>
    </xf>
    <xf numFmtId="182" fontId="6" fillId="3" borderId="30" xfId="0" applyNumberFormat="1" applyFont="1" applyFill="1" applyBorder="1" applyAlignment="1">
      <alignment horizontal="center" vertical="center"/>
    </xf>
    <xf numFmtId="172" fontId="6" fillId="3" borderId="90" xfId="3" applyNumberFormat="1" applyFont="1" applyFill="1" applyBorder="1" applyAlignment="1">
      <alignment horizontal="center" vertical="center"/>
    </xf>
    <xf numFmtId="172" fontId="6" fillId="3" borderId="83" xfId="3" applyNumberFormat="1" applyFont="1" applyFill="1" applyBorder="1" applyAlignment="1">
      <alignment horizontal="center" vertical="center"/>
    </xf>
    <xf numFmtId="172" fontId="6" fillId="3" borderId="88" xfId="3" applyNumberFormat="1" applyFont="1" applyFill="1" applyBorder="1" applyAlignment="1">
      <alignment horizontal="center" vertical="center"/>
    </xf>
    <xf numFmtId="172" fontId="6" fillId="3" borderId="86" xfId="3" applyNumberFormat="1" applyFont="1" applyFill="1" applyBorder="1" applyAlignment="1">
      <alignment horizontal="center" vertical="center"/>
    </xf>
    <xf numFmtId="3" fontId="11" fillId="3" borderId="90" xfId="0" applyNumberFormat="1" applyFont="1" applyFill="1" applyBorder="1" applyAlignment="1">
      <alignment horizontal="center" vertical="center"/>
    </xf>
    <xf numFmtId="3" fontId="11" fillId="3" borderId="83" xfId="0" applyNumberFormat="1" applyFont="1" applyFill="1" applyBorder="1" applyAlignment="1">
      <alignment horizontal="center" vertical="center"/>
    </xf>
    <xf numFmtId="178" fontId="11" fillId="3" borderId="90" xfId="0" applyNumberFormat="1" applyFont="1" applyFill="1" applyBorder="1" applyAlignment="1">
      <alignment horizontal="center" vertical="center"/>
    </xf>
    <xf numFmtId="0" fontId="160" fillId="0" borderId="0" xfId="0" applyFont="1"/>
    <xf numFmtId="172" fontId="53" fillId="54" borderId="113" xfId="9" applyNumberFormat="1" applyFont="1" applyFill="1" applyBorder="1" applyAlignment="1">
      <alignment horizontal="center" vertical="top"/>
    </xf>
    <xf numFmtId="172" fontId="53" fillId="54" borderId="88" xfId="9" applyNumberFormat="1" applyFont="1" applyFill="1" applyBorder="1" applyAlignment="1">
      <alignment horizontal="center" vertical="top"/>
    </xf>
    <xf numFmtId="0" fontId="6" fillId="0" borderId="310" xfId="0" applyFont="1" applyBorder="1" applyAlignment="1">
      <alignment horizontal="left" vertical="top" wrapText="1"/>
    </xf>
    <xf numFmtId="3" fontId="11" fillId="3" borderId="315" xfId="0" applyNumberFormat="1" applyFont="1" applyFill="1" applyBorder="1" applyAlignment="1">
      <alignment horizontal="center" vertical="center"/>
    </xf>
    <xf numFmtId="3" fontId="53" fillId="3" borderId="4" xfId="9" applyNumberFormat="1" applyFont="1" applyFill="1" applyBorder="1" applyAlignment="1">
      <alignment horizontal="center" vertical="top"/>
    </xf>
    <xf numFmtId="3" fontId="53" fillId="3" borderId="89" xfId="9" applyNumberFormat="1" applyFont="1" applyFill="1" applyBorder="1" applyAlignment="1">
      <alignment horizontal="center" vertical="top"/>
    </xf>
    <xf numFmtId="3" fontId="53" fillId="3" borderId="164" xfId="9" applyNumberFormat="1" applyFont="1" applyFill="1" applyBorder="1" applyAlignment="1">
      <alignment horizontal="center" vertical="top"/>
    </xf>
    <xf numFmtId="3" fontId="53" fillId="3" borderId="93" xfId="9" applyNumberFormat="1" applyFont="1" applyFill="1" applyBorder="1" applyAlignment="1">
      <alignment horizontal="center" vertical="top"/>
    </xf>
    <xf numFmtId="3" fontId="53" fillId="3" borderId="19" xfId="9" applyNumberFormat="1" applyFont="1" applyFill="1" applyBorder="1" applyAlignment="1">
      <alignment horizontal="center" vertical="top"/>
    </xf>
    <xf numFmtId="3" fontId="53" fillId="3" borderId="14" xfId="9" applyNumberFormat="1" applyFont="1" applyFill="1" applyBorder="1" applyAlignment="1">
      <alignment horizontal="center" vertical="top"/>
    </xf>
    <xf numFmtId="3" fontId="53" fillId="3" borderId="162" xfId="9" applyNumberFormat="1" applyFont="1" applyFill="1" applyBorder="1" applyAlignment="1">
      <alignment horizontal="center" vertical="top"/>
    </xf>
    <xf numFmtId="3" fontId="53" fillId="3" borderId="387" xfId="9" applyNumberFormat="1" applyFont="1" applyFill="1" applyBorder="1" applyAlignment="1">
      <alignment horizontal="center" vertical="top"/>
    </xf>
    <xf numFmtId="3" fontId="53" fillId="3" borderId="388" xfId="9" applyNumberFormat="1" applyFont="1" applyFill="1" applyBorder="1" applyAlignment="1">
      <alignment horizontal="center" vertical="top"/>
    </xf>
    <xf numFmtId="3" fontId="53" fillId="3" borderId="389" xfId="9" applyNumberFormat="1" applyFont="1" applyFill="1" applyBorder="1" applyAlignment="1">
      <alignment horizontal="center" vertical="top"/>
    </xf>
    <xf numFmtId="3" fontId="53" fillId="3" borderId="390" xfId="9" applyNumberFormat="1" applyFont="1" applyFill="1" applyBorder="1" applyAlignment="1">
      <alignment horizontal="center" vertical="top"/>
    </xf>
    <xf numFmtId="3" fontId="53" fillId="3" borderId="391" xfId="9" applyNumberFormat="1" applyFont="1" applyFill="1" applyBorder="1" applyAlignment="1">
      <alignment horizontal="center" vertical="top"/>
    </xf>
    <xf numFmtId="3" fontId="53" fillId="3" borderId="392" xfId="9" applyNumberFormat="1" applyFont="1" applyFill="1" applyBorder="1" applyAlignment="1">
      <alignment horizontal="center" vertical="top"/>
    </xf>
    <xf numFmtId="3" fontId="53" fillId="3" borderId="393" xfId="9" applyNumberFormat="1" applyFont="1" applyFill="1" applyBorder="1" applyAlignment="1">
      <alignment horizontal="center" vertical="top"/>
    </xf>
    <xf numFmtId="3" fontId="53" fillId="3" borderId="394" xfId="9" applyNumberFormat="1" applyFont="1" applyFill="1" applyBorder="1" applyAlignment="1">
      <alignment horizontal="center" vertical="top"/>
    </xf>
    <xf numFmtId="3" fontId="53" fillId="3" borderId="395" xfId="9" applyNumberFormat="1" applyFont="1" applyFill="1" applyBorder="1" applyAlignment="1">
      <alignment horizontal="center" vertical="top"/>
    </xf>
    <xf numFmtId="3" fontId="53" fillId="3" borderId="396" xfId="9" applyNumberFormat="1" applyFont="1" applyFill="1" applyBorder="1" applyAlignment="1">
      <alignment horizontal="center" vertical="top"/>
    </xf>
    <xf numFmtId="3" fontId="53" fillId="3" borderId="397" xfId="9" applyNumberFormat="1" applyFont="1" applyFill="1" applyBorder="1" applyAlignment="1">
      <alignment horizontal="center" vertical="top"/>
    </xf>
    <xf numFmtId="172" fontId="53" fillId="3" borderId="6" xfId="9" applyNumberFormat="1" applyFont="1" applyFill="1" applyBorder="1" applyAlignment="1">
      <alignment horizontal="center" vertical="top"/>
    </xf>
    <xf numFmtId="172" fontId="53" fillId="3" borderId="7" xfId="9" applyNumberFormat="1" applyFont="1" applyFill="1" applyBorder="1" applyAlignment="1">
      <alignment horizontal="center" vertical="top"/>
    </xf>
    <xf numFmtId="172" fontId="53" fillId="3" borderId="5" xfId="9" applyNumberFormat="1" applyFont="1" applyFill="1" applyBorder="1" applyAlignment="1">
      <alignment horizontal="center" vertical="top"/>
    </xf>
    <xf numFmtId="172" fontId="53" fillId="3" borderId="28" xfId="9" applyNumberFormat="1" applyFont="1" applyFill="1" applyBorder="1" applyAlignment="1">
      <alignment horizontal="center" vertical="top"/>
    </xf>
    <xf numFmtId="172" fontId="53" fillId="3" borderId="93" xfId="9" applyNumberFormat="1" applyFont="1" applyFill="1" applyBorder="1" applyAlignment="1">
      <alignment horizontal="center" vertical="top"/>
    </xf>
    <xf numFmtId="172" fontId="53" fillId="3" borderId="160" xfId="9" applyNumberFormat="1" applyFont="1" applyFill="1" applyBorder="1" applyAlignment="1">
      <alignment horizontal="center" vertical="top"/>
    </xf>
    <xf numFmtId="172" fontId="53" fillId="3" borderId="15" xfId="9" applyNumberFormat="1" applyFont="1" applyFill="1" applyBorder="1" applyAlignment="1">
      <alignment horizontal="center" vertical="top"/>
    </xf>
    <xf numFmtId="172" fontId="53" fillId="3" borderId="3" xfId="9" applyNumberFormat="1" applyFont="1" applyFill="1" applyBorder="1" applyAlignment="1">
      <alignment horizontal="center" vertical="top"/>
    </xf>
    <xf numFmtId="172" fontId="53" fillId="3" borderId="1" xfId="9" applyNumberFormat="1" applyFont="1" applyFill="1" applyBorder="1" applyAlignment="1">
      <alignment horizontal="center" vertical="top"/>
    </xf>
    <xf numFmtId="172" fontId="53" fillId="3" borderId="83" xfId="9" applyNumberFormat="1" applyFont="1" applyFill="1" applyBorder="1" applyAlignment="1">
      <alignment horizontal="center" vertical="top"/>
    </xf>
    <xf numFmtId="172" fontId="53" fillId="3" borderId="37" xfId="9" applyNumberFormat="1" applyFont="1" applyFill="1" applyBorder="1" applyAlignment="1">
      <alignment horizontal="center" vertical="top"/>
    </xf>
    <xf numFmtId="172" fontId="53" fillId="3" borderId="34" xfId="9" applyNumberFormat="1" applyFont="1" applyFill="1" applyBorder="1" applyAlignment="1">
      <alignment horizontal="center" vertical="top"/>
    </xf>
    <xf numFmtId="172" fontId="53" fillId="3" borderId="86" xfId="9" applyNumberFormat="1" applyFont="1" applyFill="1" applyBorder="1" applyAlignment="1">
      <alignment horizontal="center" vertical="top"/>
    </xf>
    <xf numFmtId="172" fontId="53" fillId="3" borderId="22" xfId="9" applyNumberFormat="1" applyFont="1" applyFill="1" applyBorder="1" applyAlignment="1">
      <alignment horizontal="center" vertical="top"/>
    </xf>
    <xf numFmtId="172" fontId="53" fillId="3" borderId="18" xfId="9" applyNumberFormat="1" applyFont="1" applyFill="1" applyBorder="1" applyAlignment="1">
      <alignment horizontal="center" vertical="top"/>
    </xf>
    <xf numFmtId="172" fontId="53" fillId="3" borderId="129" xfId="9" applyNumberFormat="1" applyFont="1" applyFill="1" applyBorder="1" applyAlignment="1">
      <alignment horizontal="center" vertical="top"/>
    </xf>
    <xf numFmtId="0" fontId="26" fillId="3" borderId="83" xfId="0" applyFont="1" applyFill="1" applyBorder="1" applyAlignment="1">
      <alignment wrapText="1"/>
    </xf>
    <xf numFmtId="0" fontId="26" fillId="3" borderId="83" xfId="0" applyFont="1" applyFill="1" applyBorder="1"/>
    <xf numFmtId="0" fontId="26" fillId="3" borderId="18" xfId="0" applyFont="1" applyFill="1" applyBorder="1"/>
    <xf numFmtId="0" fontId="26" fillId="3" borderId="23" xfId="0" applyFont="1" applyFill="1" applyBorder="1"/>
    <xf numFmtId="0" fontId="26" fillId="3" borderId="10" xfId="0" applyFont="1" applyFill="1" applyBorder="1" applyAlignment="1">
      <alignment wrapText="1"/>
    </xf>
    <xf numFmtId="0" fontId="26" fillId="3" borderId="154" xfId="0" applyFont="1" applyFill="1" applyBorder="1"/>
    <xf numFmtId="0" fontId="26" fillId="3" borderId="36" xfId="0" applyFont="1" applyFill="1" applyBorder="1"/>
    <xf numFmtId="3" fontId="11" fillId="3" borderId="425" xfId="0" applyNumberFormat="1" applyFont="1" applyFill="1" applyBorder="1" applyAlignment="1">
      <alignment horizontal="center" vertical="center"/>
    </xf>
    <xf numFmtId="3" fontId="11" fillId="3" borderId="417" xfId="0" applyNumberFormat="1" applyFont="1" applyFill="1" applyBorder="1" applyAlignment="1">
      <alignment horizontal="center" vertical="center"/>
    </xf>
    <xf numFmtId="3" fontId="11" fillId="3" borderId="426" xfId="0" applyNumberFormat="1" applyFont="1" applyFill="1" applyBorder="1" applyAlignment="1">
      <alignment horizontal="center" vertical="center"/>
    </xf>
    <xf numFmtId="3" fontId="11" fillId="3" borderId="309" xfId="0" applyNumberFormat="1" applyFont="1" applyFill="1" applyBorder="1" applyAlignment="1">
      <alignment horizontal="center" vertical="center"/>
    </xf>
    <xf numFmtId="3" fontId="11" fillId="3" borderId="287" xfId="0" applyNumberFormat="1" applyFont="1" applyFill="1" applyBorder="1" applyAlignment="1">
      <alignment horizontal="center" vertical="center"/>
    </xf>
    <xf numFmtId="3" fontId="11" fillId="3" borderId="427" xfId="0" applyNumberFormat="1" applyFont="1" applyFill="1" applyBorder="1" applyAlignment="1">
      <alignment horizontal="center" vertical="center"/>
    </xf>
    <xf numFmtId="3" fontId="11" fillId="3" borderId="412" xfId="0" applyNumberFormat="1" applyFont="1" applyFill="1" applyBorder="1" applyAlignment="1">
      <alignment horizontal="center" vertical="center"/>
    </xf>
    <xf numFmtId="3" fontId="11" fillId="3" borderId="408" xfId="0" applyNumberFormat="1" applyFont="1" applyFill="1" applyBorder="1" applyAlignment="1">
      <alignment horizontal="center" vertical="center"/>
    </xf>
    <xf numFmtId="3" fontId="11" fillId="3" borderId="289" xfId="0" applyNumberFormat="1" applyFont="1" applyFill="1" applyBorder="1" applyAlignment="1">
      <alignment horizontal="center" vertical="center"/>
    </xf>
    <xf numFmtId="3" fontId="11" fillId="3" borderId="436" xfId="0" applyNumberFormat="1" applyFont="1" applyFill="1" applyBorder="1" applyAlignment="1">
      <alignment horizontal="center" vertical="center"/>
    </xf>
    <xf numFmtId="3" fontId="11" fillId="3" borderId="411" xfId="0" applyNumberFormat="1" applyFont="1" applyFill="1" applyBorder="1" applyAlignment="1">
      <alignment horizontal="center" vertical="center"/>
    </xf>
    <xf numFmtId="3" fontId="11" fillId="3" borderId="409" xfId="0" applyNumberFormat="1" applyFont="1" applyFill="1" applyBorder="1" applyAlignment="1">
      <alignment horizontal="center" vertical="center"/>
    </xf>
    <xf numFmtId="3" fontId="11" fillId="3" borderId="433" xfId="0" applyNumberFormat="1" applyFont="1" applyFill="1" applyBorder="1" applyAlignment="1">
      <alignment horizontal="center" vertical="center"/>
    </xf>
    <xf numFmtId="3" fontId="11" fillId="3" borderId="283" xfId="0" applyNumberFormat="1" applyFont="1" applyFill="1" applyBorder="1" applyAlignment="1">
      <alignment horizontal="center" vertical="center"/>
    </xf>
    <xf numFmtId="3" fontId="11" fillId="3" borderId="277" xfId="0" applyNumberFormat="1" applyFont="1" applyFill="1" applyBorder="1" applyAlignment="1">
      <alignment horizontal="center" vertical="center"/>
    </xf>
    <xf numFmtId="0" fontId="164" fillId="0" borderId="0" xfId="0" applyFont="1" applyAlignment="1">
      <alignment wrapText="1"/>
    </xf>
    <xf numFmtId="174" fontId="6" fillId="3" borderId="5" xfId="0" applyNumberFormat="1" applyFont="1" applyFill="1" applyBorder="1" applyAlignment="1">
      <alignment horizontal="center" vertical="center" wrapText="1"/>
    </xf>
    <xf numFmtId="174" fontId="6" fillId="3" borderId="1" xfId="0" applyNumberFormat="1" applyFont="1" applyFill="1" applyBorder="1" applyAlignment="1">
      <alignment horizontal="center" vertical="center" wrapText="1"/>
    </xf>
    <xf numFmtId="174" fontId="6" fillId="3" borderId="28" xfId="0" applyNumberFormat="1" applyFont="1" applyFill="1" applyBorder="1" applyAlignment="1">
      <alignment horizontal="center" vertical="center" wrapText="1"/>
    </xf>
    <xf numFmtId="1" fontId="11" fillId="3" borderId="90" xfId="0" applyNumberFormat="1" applyFont="1" applyFill="1" applyBorder="1" applyAlignment="1">
      <alignment horizontal="center" vertical="center" wrapText="1"/>
    </xf>
    <xf numFmtId="1" fontId="11" fillId="3" borderId="83" xfId="0" applyNumberFormat="1" applyFont="1" applyFill="1" applyBorder="1" applyAlignment="1">
      <alignment horizontal="center" vertical="center" wrapText="1"/>
    </xf>
    <xf numFmtId="172" fontId="6" fillId="0" borderId="92" xfId="0" applyNumberFormat="1" applyFont="1" applyBorder="1" applyAlignment="1">
      <alignment horizontal="center" vertical="center"/>
    </xf>
    <xf numFmtId="172" fontId="6" fillId="0" borderId="35" xfId="0" applyNumberFormat="1" applyFont="1" applyBorder="1" applyAlignment="1">
      <alignment horizontal="center" vertical="center"/>
    </xf>
    <xf numFmtId="172" fontId="144" fillId="3" borderId="83" xfId="3" applyNumberFormat="1" applyFont="1" applyFill="1" applyBorder="1" applyAlignment="1">
      <alignment horizontal="center" vertical="center"/>
    </xf>
    <xf numFmtId="178" fontId="144" fillId="54" borderId="90" xfId="0" applyNumberFormat="1" applyFont="1" applyFill="1" applyBorder="1" applyAlignment="1">
      <alignment horizontal="center" vertical="center"/>
    </xf>
    <xf numFmtId="172" fontId="144" fillId="54" borderId="83" xfId="3" applyNumberFormat="1" applyFont="1" applyFill="1" applyBorder="1" applyAlignment="1">
      <alignment horizontal="center" vertical="center"/>
    </xf>
    <xf numFmtId="3" fontId="144" fillId="54" borderId="83" xfId="0" applyNumberFormat="1" applyFont="1" applyFill="1" applyBorder="1" applyAlignment="1">
      <alignment horizontal="center" vertical="center"/>
    </xf>
    <xf numFmtId="172" fontId="144" fillId="54" borderId="86" xfId="0" applyNumberFormat="1" applyFont="1" applyFill="1" applyBorder="1" applyAlignment="1">
      <alignment horizontal="center" vertical="center"/>
    </xf>
    <xf numFmtId="1" fontId="147" fillId="0" borderId="90" xfId="0" applyNumberFormat="1" applyFont="1" applyBorder="1" applyAlignment="1">
      <alignment horizontal="center" vertical="center" wrapText="1"/>
    </xf>
    <xf numFmtId="1" fontId="147" fillId="0" borderId="88" xfId="0" applyNumberFormat="1" applyFont="1" applyBorder="1" applyAlignment="1">
      <alignment horizontal="center" vertical="center" wrapText="1"/>
    </xf>
    <xf numFmtId="1" fontId="11" fillId="0" borderId="90" xfId="0" applyNumberFormat="1" applyFont="1" applyBorder="1" applyAlignment="1">
      <alignment horizontal="center" vertical="center" wrapText="1"/>
    </xf>
    <xf numFmtId="1" fontId="11" fillId="0" borderId="83" xfId="0" applyNumberFormat="1" applyFont="1" applyBorder="1" applyAlignment="1">
      <alignment horizontal="center" vertical="center" wrapText="1"/>
    </xf>
    <xf numFmtId="0" fontId="26" fillId="9" borderId="28" xfId="0" applyFont="1" applyFill="1" applyBorder="1" applyAlignment="1">
      <alignment horizontal="center" vertical="center"/>
    </xf>
    <xf numFmtId="170" fontId="6" fillId="0" borderId="83" xfId="0" applyNumberFormat="1" applyFont="1" applyBorder="1" applyAlignment="1">
      <alignment horizontal="center" vertical="center"/>
    </xf>
    <xf numFmtId="172" fontId="6" fillId="0" borderId="22" xfId="0" applyNumberFormat="1" applyFont="1" applyBorder="1" applyAlignment="1">
      <alignment horizontal="center" vertical="center"/>
    </xf>
    <xf numFmtId="174" fontId="6" fillId="0" borderId="83" xfId="0" applyNumberFormat="1" applyFont="1" applyBorder="1" applyAlignment="1">
      <alignment horizontal="center" vertical="center"/>
    </xf>
    <xf numFmtId="9" fontId="6" fillId="0" borderId="1" xfId="0" applyNumberFormat="1" applyFont="1" applyBorder="1" applyAlignment="1">
      <alignment horizontal="center" vertical="center"/>
    </xf>
    <xf numFmtId="9" fontId="6" fillId="0" borderId="83" xfId="0" applyNumberFormat="1" applyFont="1" applyBorder="1" applyAlignment="1">
      <alignment horizontal="center" vertical="center"/>
    </xf>
    <xf numFmtId="2" fontId="6" fillId="0" borderId="83" xfId="0" applyNumberFormat="1" applyFont="1" applyBorder="1" applyAlignment="1">
      <alignment horizontal="center" vertical="center"/>
    </xf>
    <xf numFmtId="0" fontId="6" fillId="3" borderId="83" xfId="0" applyFont="1" applyFill="1" applyBorder="1" applyAlignment="1">
      <alignment horizontal="center" vertical="center"/>
    </xf>
    <xf numFmtId="172" fontId="6" fillId="3" borderId="83" xfId="0" applyNumberFormat="1" applyFont="1" applyFill="1" applyBorder="1" applyAlignment="1">
      <alignment horizontal="center" vertical="center"/>
    </xf>
    <xf numFmtId="3" fontId="6" fillId="3" borderId="43" xfId="0" applyNumberFormat="1" applyFont="1" applyFill="1" applyBorder="1" applyAlignment="1">
      <alignment horizontal="left" vertical="center" wrapText="1"/>
    </xf>
    <xf numFmtId="176" fontId="6" fillId="3" borderId="0" xfId="1" applyNumberFormat="1" applyFont="1" applyFill="1" applyBorder="1" applyAlignment="1">
      <alignment horizontal="left" vertical="center" wrapText="1"/>
    </xf>
    <xf numFmtId="176" fontId="6" fillId="3" borderId="127" xfId="1" applyNumberFormat="1" applyFont="1" applyFill="1" applyBorder="1" applyAlignment="1">
      <alignment horizontal="left" vertical="center" wrapText="1"/>
    </xf>
    <xf numFmtId="3" fontId="6" fillId="3" borderId="21" xfId="0" applyNumberFormat="1" applyFont="1" applyFill="1" applyBorder="1" applyAlignment="1">
      <alignment horizontal="left" vertical="center" wrapText="1"/>
    </xf>
    <xf numFmtId="9" fontId="6" fillId="0" borderId="22" xfId="3" applyFont="1" applyFill="1" applyBorder="1" applyAlignment="1">
      <alignment horizontal="center" vertical="center"/>
    </xf>
    <xf numFmtId="3" fontId="6" fillId="0" borderId="83" xfId="0" applyNumberFormat="1" applyFont="1" applyBorder="1" applyAlignment="1">
      <alignment horizontal="center" vertical="center"/>
    </xf>
    <xf numFmtId="3" fontId="11" fillId="0" borderId="4" xfId="3" applyNumberFormat="1" applyFont="1" applyFill="1" applyBorder="1" applyAlignment="1">
      <alignment horizontal="center" vertical="center"/>
    </xf>
    <xf numFmtId="3" fontId="11" fillId="0" borderId="5" xfId="3" applyNumberFormat="1" applyFont="1" applyFill="1" applyBorder="1" applyAlignment="1">
      <alignment horizontal="center" vertical="center"/>
    </xf>
    <xf numFmtId="3" fontId="6" fillId="0" borderId="40" xfId="1" applyNumberFormat="1" applyFont="1" applyFill="1" applyBorder="1" applyAlignment="1">
      <alignment horizontal="center" vertical="center"/>
    </xf>
    <xf numFmtId="3" fontId="6" fillId="0" borderId="42" xfId="0" applyNumberFormat="1" applyFont="1" applyBorder="1" applyAlignment="1">
      <alignment horizontal="center" vertical="center"/>
    </xf>
    <xf numFmtId="10" fontId="0" fillId="0" borderId="0" xfId="0" applyNumberFormat="1"/>
    <xf numFmtId="172" fontId="144" fillId="54" borderId="18" xfId="0" applyNumberFormat="1" applyFont="1" applyFill="1" applyBorder="1" applyAlignment="1">
      <alignment horizontal="center" vertical="center"/>
    </xf>
    <xf numFmtId="0" fontId="11" fillId="0" borderId="83" xfId="0" applyFont="1" applyBorder="1" applyAlignment="1">
      <alignment horizontal="center" vertical="center"/>
    </xf>
    <xf numFmtId="170" fontId="11" fillId="0" borderId="83" xfId="0" applyNumberFormat="1" applyFont="1" applyBorder="1" applyAlignment="1">
      <alignment horizontal="center" vertical="center"/>
    </xf>
    <xf numFmtId="3" fontId="12" fillId="3" borderId="19" xfId="1" applyNumberFormat="1" applyFont="1" applyFill="1" applyBorder="1" applyAlignment="1">
      <alignment horizontal="center" vertical="center"/>
    </xf>
    <xf numFmtId="3" fontId="6" fillId="0" borderId="40" xfId="0" applyNumberFormat="1" applyFont="1" applyBorder="1" applyAlignment="1">
      <alignment horizontal="center" vertical="center"/>
    </xf>
    <xf numFmtId="3" fontId="6" fillId="0" borderId="92" xfId="0" applyNumberFormat="1" applyFont="1" applyBorder="1" applyAlignment="1">
      <alignment horizontal="center" vertical="center"/>
    </xf>
    <xf numFmtId="172" fontId="144" fillId="54" borderId="84" xfId="0" applyNumberFormat="1" applyFont="1" applyFill="1" applyBorder="1" applyAlignment="1">
      <alignment horizontal="center" vertical="center"/>
    </xf>
    <xf numFmtId="172" fontId="144" fillId="54" borderId="129" xfId="0" applyNumberFormat="1" applyFont="1" applyFill="1" applyBorder="1" applyAlignment="1">
      <alignment horizontal="center" vertical="center"/>
    </xf>
    <xf numFmtId="172" fontId="144" fillId="54" borderId="35" xfId="0" applyNumberFormat="1" applyFont="1" applyFill="1" applyBorder="1" applyAlignment="1">
      <alignment horizontal="center" vertical="center"/>
    </xf>
    <xf numFmtId="172" fontId="144" fillId="54" borderId="2" xfId="0" applyNumberFormat="1" applyFont="1" applyFill="1" applyBorder="1" applyAlignment="1">
      <alignment horizontal="center" vertical="center"/>
    </xf>
    <xf numFmtId="172" fontId="144" fillId="54" borderId="92" xfId="0" applyNumberFormat="1" applyFont="1" applyFill="1" applyBorder="1" applyAlignment="1">
      <alignment horizontal="center" vertical="center"/>
    </xf>
    <xf numFmtId="172" fontId="6" fillId="0" borderId="129" xfId="3" applyNumberFormat="1" applyFont="1" applyFill="1" applyBorder="1" applyAlignment="1">
      <alignment horizontal="center" vertical="center"/>
    </xf>
    <xf numFmtId="172" fontId="6" fillId="0" borderId="85" xfId="3" applyNumberFormat="1" applyFont="1" applyFill="1" applyBorder="1" applyAlignment="1">
      <alignment horizontal="center" vertical="center"/>
    </xf>
    <xf numFmtId="172" fontId="6" fillId="0" borderId="34" xfId="3" applyNumberFormat="1" applyFont="1" applyFill="1" applyBorder="1" applyAlignment="1">
      <alignment horizontal="center" vertical="center"/>
    </xf>
    <xf numFmtId="172" fontId="6" fillId="0" borderId="10" xfId="3" applyNumberFormat="1" applyFont="1" applyFill="1" applyBorder="1" applyAlignment="1">
      <alignment horizontal="center" vertical="center"/>
    </xf>
    <xf numFmtId="172" fontId="6" fillId="0" borderId="9" xfId="3" applyNumberFormat="1" applyFont="1" applyFill="1" applyBorder="1" applyAlignment="1">
      <alignment horizontal="center" vertical="center"/>
    </xf>
    <xf numFmtId="172" fontId="6" fillId="0" borderId="8" xfId="3" applyNumberFormat="1" applyFont="1" applyFill="1" applyBorder="1" applyAlignment="1">
      <alignment horizontal="center" vertical="center"/>
    </xf>
    <xf numFmtId="174" fontId="6" fillId="3" borderId="84" xfId="1" applyNumberFormat="1" applyFont="1" applyFill="1" applyBorder="1" applyAlignment="1">
      <alignment horizontal="center" vertical="center"/>
    </xf>
    <xf numFmtId="1" fontId="6" fillId="3" borderId="86" xfId="0" applyNumberFormat="1" applyFont="1" applyFill="1" applyBorder="1" applyAlignment="1">
      <alignment horizontal="center" vertical="center"/>
    </xf>
    <xf numFmtId="172" fontId="6" fillId="2" borderId="33" xfId="0" applyNumberFormat="1" applyFont="1" applyFill="1" applyBorder="1" applyAlignment="1">
      <alignment horizontal="center" vertical="center"/>
    </xf>
    <xf numFmtId="174" fontId="6" fillId="2" borderId="296" xfId="0" applyNumberFormat="1" applyFont="1" applyFill="1" applyBorder="1" applyAlignment="1">
      <alignment horizontal="center" vertical="center"/>
    </xf>
    <xf numFmtId="174" fontId="6" fillId="2" borderId="90" xfId="0" applyNumberFormat="1" applyFont="1" applyFill="1" applyBorder="1" applyAlignment="1">
      <alignment horizontal="center" vertical="center"/>
    </xf>
    <xf numFmtId="0" fontId="6" fillId="2" borderId="83" xfId="0" applyFont="1" applyFill="1" applyBorder="1" applyAlignment="1">
      <alignment horizontal="center" vertical="center"/>
    </xf>
    <xf numFmtId="170" fontId="6" fillId="2" borderId="83" xfId="0" applyNumberFormat="1" applyFont="1" applyFill="1" applyBorder="1" applyAlignment="1">
      <alignment horizontal="center" vertical="center"/>
    </xf>
    <xf numFmtId="0" fontId="26" fillId="2" borderId="83" xfId="0" applyFont="1" applyFill="1" applyBorder="1" applyAlignment="1">
      <alignment horizontal="center" vertical="center"/>
    </xf>
    <xf numFmtId="172" fontId="26" fillId="2" borderId="83" xfId="0" applyNumberFormat="1" applyFont="1" applyFill="1" applyBorder="1" applyAlignment="1">
      <alignment horizontal="center" vertical="center"/>
    </xf>
    <xf numFmtId="0" fontId="26" fillId="2" borderId="86" xfId="0" applyFont="1" applyFill="1" applyBorder="1" applyAlignment="1">
      <alignment horizontal="center" vertical="center" wrapText="1"/>
    </xf>
    <xf numFmtId="172" fontId="11" fillId="2" borderId="22" xfId="0" applyNumberFormat="1" applyFont="1" applyFill="1" applyBorder="1" applyAlignment="1">
      <alignment horizontal="center" vertical="center"/>
    </xf>
    <xf numFmtId="170" fontId="11" fillId="2" borderId="90" xfId="0" applyNumberFormat="1" applyFont="1" applyFill="1" applyBorder="1" applyAlignment="1">
      <alignment horizontal="center" vertical="center"/>
    </xf>
    <xf numFmtId="0" fontId="26" fillId="2" borderId="90" xfId="0" applyFont="1" applyFill="1" applyBorder="1" applyAlignment="1">
      <alignment horizontal="center" vertical="center"/>
    </xf>
    <xf numFmtId="174" fontId="26" fillId="2" borderId="90" xfId="0" applyNumberFormat="1" applyFont="1" applyFill="1" applyBorder="1" applyAlignment="1">
      <alignment horizontal="center"/>
    </xf>
    <xf numFmtId="172" fontId="26" fillId="2" borderId="90" xfId="0" applyNumberFormat="1" applyFont="1" applyFill="1" applyBorder="1" applyAlignment="1">
      <alignment horizontal="center"/>
    </xf>
    <xf numFmtId="0" fontId="26" fillId="2" borderId="90" xfId="0" applyFont="1" applyFill="1" applyBorder="1" applyAlignment="1">
      <alignment horizontal="center"/>
    </xf>
    <xf numFmtId="0" fontId="26" fillId="2" borderId="128" xfId="0" applyFont="1" applyFill="1" applyBorder="1" applyAlignment="1">
      <alignment horizontal="center"/>
    </xf>
    <xf numFmtId="174" fontId="11" fillId="2" borderId="90" xfId="0" applyNumberFormat="1" applyFont="1" applyFill="1" applyBorder="1" applyAlignment="1">
      <alignment horizontal="center"/>
    </xf>
    <xf numFmtId="170" fontId="6" fillId="3" borderId="332" xfId="1" applyNumberFormat="1" applyFont="1" applyFill="1" applyBorder="1" applyAlignment="1">
      <alignment horizontal="center" vertical="center"/>
    </xf>
    <xf numFmtId="172" fontId="55" fillId="3" borderId="157" xfId="9" applyNumberFormat="1" applyFont="1" applyFill="1" applyBorder="1" applyAlignment="1">
      <alignment horizontal="center" vertical="center"/>
    </xf>
    <xf numFmtId="0" fontId="6" fillId="56" borderId="476" xfId="0" applyFont="1" applyFill="1" applyBorder="1"/>
    <xf numFmtId="0" fontId="6" fillId="56" borderId="478" xfId="0" applyFont="1" applyFill="1" applyBorder="1" applyAlignment="1">
      <alignment horizontal="center" vertical="center"/>
    </xf>
    <xf numFmtId="0" fontId="26" fillId="56" borderId="266" xfId="0" applyFont="1" applyFill="1" applyBorder="1" applyAlignment="1">
      <alignment horizontal="left" vertical="center" wrapText="1"/>
    </xf>
    <xf numFmtId="0" fontId="6" fillId="56" borderId="453" xfId="0" applyFont="1" applyFill="1" applyBorder="1"/>
    <xf numFmtId="0" fontId="26" fillId="55" borderId="155" xfId="0" applyFont="1" applyFill="1" applyBorder="1" applyAlignment="1">
      <alignment horizontal="left" vertical="center" wrapText="1" indent="1"/>
    </xf>
    <xf numFmtId="0" fontId="6" fillId="0" borderId="453" xfId="0" applyFont="1" applyBorder="1" applyAlignment="1">
      <alignment horizontal="center" vertical="center"/>
    </xf>
    <xf numFmtId="0" fontId="26" fillId="55" borderId="130" xfId="0" applyFont="1" applyFill="1" applyBorder="1" applyAlignment="1">
      <alignment horizontal="left" vertical="center" wrapText="1" indent="1"/>
    </xf>
    <xf numFmtId="0" fontId="6" fillId="0" borderId="458" xfId="0" applyFont="1" applyBorder="1" applyAlignment="1">
      <alignment horizontal="center" vertical="center"/>
    </xf>
    <xf numFmtId="0" fontId="6" fillId="56" borderId="91" xfId="0" applyFont="1" applyFill="1" applyBorder="1"/>
    <xf numFmtId="0" fontId="6" fillId="56" borderId="478" xfId="0" applyFont="1" applyFill="1" applyBorder="1" applyAlignment="1">
      <alignment horizontal="center"/>
    </xf>
    <xf numFmtId="0" fontId="26" fillId="56" borderId="480" xfId="0" applyFont="1" applyFill="1" applyBorder="1" applyAlignment="1">
      <alignment horizontal="left" vertical="center" wrapText="1"/>
    </xf>
    <xf numFmtId="0" fontId="26" fillId="56" borderId="482" xfId="0" applyFont="1" applyFill="1" applyBorder="1" applyAlignment="1">
      <alignment horizontal="left" vertical="center" wrapText="1"/>
    </xf>
    <xf numFmtId="0" fontId="26" fillId="56" borderId="481" xfId="0" applyFont="1" applyFill="1" applyBorder="1" applyAlignment="1">
      <alignment horizontal="left" vertical="center" wrapText="1"/>
    </xf>
    <xf numFmtId="0" fontId="26" fillId="56" borderId="21" xfId="0" applyFont="1" applyFill="1" applyBorder="1" applyAlignment="1">
      <alignment horizontal="left" vertical="center" wrapText="1"/>
    </xf>
    <xf numFmtId="0" fontId="3" fillId="54" borderId="160" xfId="0" applyFont="1" applyFill="1" applyBorder="1" applyAlignment="1">
      <alignment horizontal="center" vertical="center"/>
    </xf>
    <xf numFmtId="170" fontId="0" fillId="0" borderId="0" xfId="0" applyNumberFormat="1"/>
    <xf numFmtId="2" fontId="6" fillId="3" borderId="1" xfId="0" applyNumberFormat="1" applyFont="1" applyFill="1" applyBorder="1" applyAlignment="1">
      <alignment horizontal="center" vertical="center" wrapText="1"/>
    </xf>
    <xf numFmtId="2" fontId="6" fillId="3" borderId="3" xfId="0" applyNumberFormat="1" applyFont="1" applyFill="1" applyBorder="1" applyAlignment="1">
      <alignment horizontal="center" vertical="center" wrapText="1"/>
    </xf>
    <xf numFmtId="2" fontId="6" fillId="3" borderId="76" xfId="0" applyNumberFormat="1" applyFont="1" applyFill="1" applyBorder="1" applyAlignment="1">
      <alignment horizontal="center" vertical="center" wrapText="1"/>
    </xf>
    <xf numFmtId="164" fontId="26" fillId="3" borderId="47" xfId="0" applyNumberFormat="1" applyFont="1" applyFill="1" applyBorder="1" applyAlignment="1">
      <alignment horizontal="left" vertical="center" wrapText="1"/>
    </xf>
    <xf numFmtId="0" fontId="147" fillId="55" borderId="113" xfId="0" applyFont="1" applyFill="1" applyBorder="1" applyAlignment="1">
      <alignment horizontal="left" vertical="top" wrapText="1"/>
    </xf>
    <xf numFmtId="0" fontId="26" fillId="0" borderId="97" xfId="0" applyFont="1" applyBorder="1" applyAlignment="1">
      <alignment vertical="top" wrapText="1"/>
    </xf>
    <xf numFmtId="0" fontId="7" fillId="55" borderId="29" xfId="0" applyFont="1" applyFill="1" applyBorder="1" applyAlignment="1">
      <alignment horizontal="center" vertical="center" wrapText="1"/>
    </xf>
    <xf numFmtId="3" fontId="6" fillId="61" borderId="28" xfId="0" applyNumberFormat="1" applyFont="1" applyFill="1" applyBorder="1" applyAlignment="1">
      <alignment horizontal="right" vertical="center" wrapText="1"/>
    </xf>
    <xf numFmtId="3" fontId="6" fillId="61" borderId="12" xfId="0" applyNumberFormat="1" applyFont="1" applyFill="1" applyBorder="1" applyAlignment="1">
      <alignment horizontal="right" vertical="center" wrapText="1"/>
    </xf>
    <xf numFmtId="3" fontId="6" fillId="77" borderId="75" xfId="0" applyNumberFormat="1" applyFont="1" applyFill="1" applyBorder="1" applyAlignment="1">
      <alignment horizontal="right" vertical="center" wrapText="1"/>
    </xf>
    <xf numFmtId="3" fontId="6" fillId="61" borderId="1" xfId="0" applyNumberFormat="1" applyFont="1" applyFill="1" applyBorder="1" applyAlignment="1">
      <alignment horizontal="right" vertical="center" wrapText="1"/>
    </xf>
    <xf numFmtId="3" fontId="6" fillId="61" borderId="2" xfId="0" applyNumberFormat="1" applyFont="1" applyFill="1" applyBorder="1" applyAlignment="1">
      <alignment horizontal="right" vertical="center" wrapText="1"/>
    </xf>
    <xf numFmtId="3" fontId="6" fillId="77" borderId="76" xfId="0" applyNumberFormat="1" applyFont="1" applyFill="1" applyBorder="1" applyAlignment="1">
      <alignment horizontal="right" vertical="center" wrapText="1"/>
    </xf>
    <xf numFmtId="3" fontId="6" fillId="61" borderId="8" xfId="0" applyNumberFormat="1" applyFont="1" applyFill="1" applyBorder="1" applyAlignment="1">
      <alignment horizontal="right" vertical="center" wrapText="1"/>
    </xf>
    <xf numFmtId="3" fontId="6" fillId="61" borderId="10" xfId="0" applyNumberFormat="1" applyFont="1" applyFill="1" applyBorder="1" applyAlignment="1">
      <alignment horizontal="right" vertical="center" wrapText="1"/>
    </xf>
    <xf numFmtId="3" fontId="6" fillId="77" borderId="106" xfId="0" applyNumberFormat="1" applyFont="1" applyFill="1" applyBorder="1" applyAlignment="1">
      <alignment horizontal="right" vertical="center" wrapText="1"/>
    </xf>
    <xf numFmtId="3" fontId="7" fillId="63" borderId="12" xfId="0" applyNumberFormat="1" applyFont="1" applyFill="1" applyBorder="1" applyAlignment="1">
      <alignment horizontal="right" vertical="center" wrapText="1"/>
    </xf>
    <xf numFmtId="3" fontId="7" fillId="63" borderId="82" xfId="0" applyNumberFormat="1" applyFont="1" applyFill="1" applyBorder="1" applyAlignment="1">
      <alignment horizontal="right" vertical="center" wrapText="1"/>
    </xf>
    <xf numFmtId="3" fontId="7" fillId="77" borderId="194" xfId="0" applyNumberFormat="1" applyFont="1" applyFill="1" applyBorder="1" applyAlignment="1">
      <alignment horizontal="right" vertical="center" wrapText="1"/>
    </xf>
    <xf numFmtId="3" fontId="7" fillId="63" borderId="8" xfId="0" applyNumberFormat="1" applyFont="1" applyFill="1" applyBorder="1" applyAlignment="1">
      <alignment horizontal="right" vertical="center" wrapText="1"/>
    </xf>
    <xf numFmtId="3" fontId="7" fillId="63" borderId="52" xfId="0" applyNumberFormat="1" applyFont="1" applyFill="1" applyBorder="1" applyAlignment="1">
      <alignment horizontal="right" vertical="center" wrapText="1"/>
    </xf>
    <xf numFmtId="3" fontId="7" fillId="77" borderId="188" xfId="0" applyNumberFormat="1" applyFont="1" applyFill="1" applyBorder="1" applyAlignment="1">
      <alignment horizontal="right" vertical="center" wrapText="1"/>
    </xf>
    <xf numFmtId="3" fontId="6" fillId="61" borderId="82" xfId="0" applyNumberFormat="1" applyFont="1" applyFill="1" applyBorder="1" applyAlignment="1">
      <alignment horizontal="right" vertical="center" wrapText="1"/>
    </xf>
    <xf numFmtId="3" fontId="6" fillId="77" borderId="194" xfId="0" applyNumberFormat="1" applyFont="1" applyFill="1" applyBorder="1" applyAlignment="1">
      <alignment horizontal="right" vertical="center" wrapText="1"/>
    </xf>
    <xf numFmtId="4" fontId="6" fillId="61" borderId="1" xfId="0" applyNumberFormat="1" applyFont="1" applyFill="1" applyBorder="1" applyAlignment="1">
      <alignment horizontal="right" vertical="center" wrapText="1"/>
    </xf>
    <xf numFmtId="175" fontId="6" fillId="61" borderId="2" xfId="0" applyNumberFormat="1" applyFont="1" applyFill="1" applyBorder="1" applyAlignment="1">
      <alignment horizontal="right" vertical="center" wrapText="1"/>
    </xf>
    <xf numFmtId="175" fontId="6" fillId="77" borderId="76" xfId="0" applyNumberFormat="1" applyFont="1" applyFill="1" applyBorder="1" applyAlignment="1">
      <alignment horizontal="right" vertical="center" wrapText="1"/>
    </xf>
    <xf numFmtId="3" fontId="6" fillId="61" borderId="34" xfId="0" applyNumberFormat="1" applyFont="1" applyFill="1" applyBorder="1" applyAlignment="1">
      <alignment horizontal="right" vertical="center" wrapText="1"/>
    </xf>
    <xf numFmtId="3" fontId="6" fillId="61" borderId="85" xfId="0" applyNumberFormat="1" applyFont="1" applyFill="1" applyBorder="1" applyAlignment="1">
      <alignment horizontal="right" vertical="center" wrapText="1"/>
    </xf>
    <xf numFmtId="3" fontId="6" fillId="77" borderId="192" xfId="0" applyNumberFormat="1" applyFont="1" applyFill="1" applyBorder="1" applyAlignment="1">
      <alignment horizontal="right" vertical="center" wrapText="1"/>
    </xf>
    <xf numFmtId="0" fontId="54" fillId="54" borderId="160" xfId="9" applyFont="1" applyFill="1" applyBorder="1" applyAlignment="1">
      <alignment horizontal="center" vertical="center"/>
    </xf>
    <xf numFmtId="0" fontId="51" fillId="3" borderId="83" xfId="0" applyFont="1" applyFill="1" applyBorder="1"/>
    <xf numFmtId="0" fontId="6" fillId="3" borderId="464" xfId="0" applyFont="1" applyFill="1" applyBorder="1" applyAlignment="1">
      <alignment horizontal="center" vertical="center"/>
    </xf>
    <xf numFmtId="0" fontId="6" fillId="3" borderId="479" xfId="0" applyFont="1" applyFill="1" applyBorder="1" applyAlignment="1">
      <alignment horizontal="center" vertical="center"/>
    </xf>
    <xf numFmtId="0" fontId="6" fillId="3" borderId="477" xfId="0" applyFont="1" applyFill="1" applyBorder="1" applyAlignment="1">
      <alignment horizontal="center" vertical="center"/>
    </xf>
    <xf numFmtId="3" fontId="6" fillId="0" borderId="12" xfId="1" applyNumberFormat="1" applyFont="1" applyFill="1" applyBorder="1" applyAlignment="1">
      <alignment horizontal="right" vertical="center" wrapText="1"/>
    </xf>
    <xf numFmtId="174" fontId="6" fillId="0" borderId="2" xfId="1" applyNumberFormat="1" applyFont="1" applyFill="1" applyBorder="1" applyAlignment="1">
      <alignment horizontal="right" vertical="center" wrapText="1"/>
    </xf>
    <xf numFmtId="3" fontId="6" fillId="0" borderId="85" xfId="1" applyNumberFormat="1" applyFont="1" applyFill="1" applyBorder="1" applyAlignment="1">
      <alignment horizontal="right" vertical="center" wrapText="1"/>
    </xf>
    <xf numFmtId="3" fontId="6" fillId="0" borderId="385" xfId="0" applyNumberFormat="1" applyFont="1" applyBorder="1" applyAlignment="1">
      <alignment horizontal="right" vertical="center" wrapText="1"/>
    </xf>
    <xf numFmtId="3" fontId="6" fillId="0" borderId="109" xfId="0" applyNumberFormat="1" applyFont="1" applyBorder="1" applyAlignment="1">
      <alignment horizontal="right" vertical="center" wrapText="1"/>
    </xf>
    <xf numFmtId="173" fontId="6" fillId="0" borderId="12" xfId="1" applyNumberFormat="1" applyFont="1" applyFill="1" applyBorder="1" applyAlignment="1">
      <alignment horizontal="right" vertical="center" wrapText="1"/>
    </xf>
    <xf numFmtId="173" fontId="6" fillId="0" borderId="2" xfId="1" applyNumberFormat="1" applyFont="1" applyFill="1" applyBorder="1" applyAlignment="1">
      <alignment horizontal="right" vertical="center" wrapText="1"/>
    </xf>
    <xf numFmtId="173" fontId="6" fillId="0" borderId="87" xfId="1" applyNumberFormat="1" applyFont="1" applyFill="1" applyBorder="1" applyAlignment="1">
      <alignment horizontal="right" vertical="center" wrapText="1"/>
    </xf>
    <xf numFmtId="3" fontId="6" fillId="0" borderId="19" xfId="0" applyNumberFormat="1" applyFont="1" applyBorder="1" applyAlignment="1">
      <alignment horizontal="right" vertical="center" wrapText="1"/>
    </xf>
    <xf numFmtId="3" fontId="6" fillId="0" borderId="164" xfId="0" applyNumberFormat="1" applyFont="1" applyBorder="1" applyAlignment="1">
      <alignment horizontal="right" vertical="center" wrapText="1"/>
    </xf>
    <xf numFmtId="3" fontId="6" fillId="0" borderId="19" xfId="1" applyNumberFormat="1" applyFont="1" applyFill="1" applyBorder="1" applyAlignment="1">
      <alignment horizontal="right" vertical="center" wrapText="1"/>
    </xf>
    <xf numFmtId="3" fontId="6" fillId="0" borderId="87" xfId="1" applyNumberFormat="1" applyFont="1" applyFill="1" applyBorder="1" applyAlignment="1">
      <alignment horizontal="right" vertical="center" wrapText="1"/>
    </xf>
    <xf numFmtId="173" fontId="6" fillId="0" borderId="19" xfId="1" applyNumberFormat="1" applyFont="1" applyFill="1" applyBorder="1" applyAlignment="1">
      <alignment horizontal="right" vertical="center" wrapText="1"/>
    </xf>
    <xf numFmtId="3" fontId="6" fillId="0" borderId="89" xfId="0" applyNumberFormat="1" applyFont="1" applyBorder="1" applyAlignment="1">
      <alignment horizontal="right" vertical="center" wrapText="1"/>
    </xf>
    <xf numFmtId="3" fontId="6" fillId="0" borderId="89" xfId="1" applyNumberFormat="1" applyFont="1" applyFill="1" applyBorder="1" applyAlignment="1">
      <alignment horizontal="right" vertical="center" wrapText="1"/>
    </xf>
    <xf numFmtId="9" fontId="6" fillId="0" borderId="0" xfId="3" applyFont="1"/>
    <xf numFmtId="9" fontId="10" fillId="0" borderId="0" xfId="0" applyNumberFormat="1" applyFont="1"/>
    <xf numFmtId="9" fontId="6" fillId="0" borderId="161" xfId="3" applyFont="1" applyFill="1" applyBorder="1" applyAlignment="1">
      <alignment horizontal="right" vertical="center" wrapText="1"/>
    </xf>
    <xf numFmtId="173" fontId="6" fillId="0" borderId="4" xfId="1" applyNumberFormat="1" applyFont="1" applyFill="1" applyBorder="1" applyAlignment="1">
      <alignment horizontal="right" vertical="center" wrapText="1"/>
    </xf>
    <xf numFmtId="173" fontId="6" fillId="0" borderId="164" xfId="1" applyNumberFormat="1" applyFont="1" applyFill="1" applyBorder="1" applyAlignment="1">
      <alignment horizontal="right" vertical="center" wrapText="1"/>
    </xf>
    <xf numFmtId="173" fontId="26" fillId="0" borderId="89" xfId="1" applyNumberFormat="1" applyFont="1" applyFill="1" applyBorder="1" applyAlignment="1">
      <alignment horizontal="right" vertical="center" wrapText="1"/>
    </xf>
    <xf numFmtId="173" fontId="26" fillId="0" borderId="87" xfId="1" applyNumberFormat="1" applyFont="1" applyFill="1" applyBorder="1" applyAlignment="1">
      <alignment horizontal="right" vertical="center" wrapText="1"/>
    </xf>
    <xf numFmtId="173" fontId="26" fillId="0" borderId="19" xfId="1" applyNumberFormat="1" applyFont="1" applyFill="1" applyBorder="1" applyAlignment="1">
      <alignment horizontal="right" vertical="center" wrapText="1"/>
    </xf>
    <xf numFmtId="173" fontId="6" fillId="0" borderId="89" xfId="1" applyNumberFormat="1" applyFont="1" applyFill="1" applyBorder="1" applyAlignment="1">
      <alignment horizontal="right" vertical="center" wrapText="1"/>
    </xf>
    <xf numFmtId="173" fontId="26" fillId="0" borderId="13" xfId="1" applyNumberFormat="1" applyFont="1" applyFill="1" applyBorder="1" applyAlignment="1">
      <alignment horizontal="right" vertical="center" wrapText="1"/>
    </xf>
    <xf numFmtId="184" fontId="6" fillId="0" borderId="18" xfId="1" applyNumberFormat="1" applyFont="1" applyFill="1" applyBorder="1" applyAlignment="1">
      <alignment horizontal="right" vertical="center" wrapText="1"/>
    </xf>
    <xf numFmtId="3" fontId="26" fillId="0" borderId="12" xfId="1" applyNumberFormat="1" applyFont="1" applyFill="1" applyBorder="1" applyAlignment="1">
      <alignment horizontal="right" vertical="center" wrapText="1"/>
    </xf>
    <xf numFmtId="3" fontId="6" fillId="0" borderId="52" xfId="0" applyNumberFormat="1" applyFont="1" applyBorder="1" applyAlignment="1">
      <alignment horizontal="right" vertical="center" wrapText="1"/>
    </xf>
    <xf numFmtId="3" fontId="26" fillId="0" borderId="87" xfId="1" applyNumberFormat="1" applyFont="1" applyFill="1" applyBorder="1" applyAlignment="1">
      <alignment horizontal="right" vertical="center" wrapText="1"/>
    </xf>
    <xf numFmtId="3" fontId="26" fillId="0" borderId="19" xfId="1" applyNumberFormat="1" applyFont="1" applyFill="1" applyBorder="1" applyAlignment="1">
      <alignment horizontal="right" vertical="center" wrapText="1"/>
    </xf>
    <xf numFmtId="3" fontId="6" fillId="0" borderId="84" xfId="1" applyNumberFormat="1" applyFont="1" applyFill="1" applyBorder="1" applyAlignment="1">
      <alignment horizontal="right" vertical="center" wrapText="1"/>
    </xf>
    <xf numFmtId="173" fontId="6" fillId="0" borderId="85" xfId="1" applyNumberFormat="1" applyFont="1" applyFill="1" applyBorder="1" applyAlignment="1">
      <alignment horizontal="right" vertical="center" wrapText="1"/>
    </xf>
    <xf numFmtId="3" fontId="6" fillId="0" borderId="4" xfId="1" applyNumberFormat="1" applyFont="1" applyFill="1" applyBorder="1" applyAlignment="1">
      <alignment horizontal="right" vertical="center" wrapText="1"/>
    </xf>
    <xf numFmtId="3" fontId="6" fillId="0" borderId="164" xfId="3" applyNumberFormat="1" applyFont="1" applyFill="1" applyBorder="1" applyAlignment="1">
      <alignment horizontal="right" vertical="center" wrapText="1"/>
    </xf>
    <xf numFmtId="3" fontId="6" fillId="0" borderId="29" xfId="0" applyNumberFormat="1" applyFont="1" applyBorder="1" applyAlignment="1">
      <alignment horizontal="right" vertical="center" wrapText="1"/>
    </xf>
    <xf numFmtId="173" fontId="6" fillId="0" borderId="84" xfId="1" applyNumberFormat="1" applyFont="1" applyFill="1" applyBorder="1" applyAlignment="1">
      <alignment horizontal="right" vertical="center" wrapText="1"/>
    </xf>
    <xf numFmtId="3" fontId="26" fillId="0" borderId="89" xfId="1" applyNumberFormat="1" applyFont="1" applyFill="1" applyBorder="1" applyAlignment="1">
      <alignment horizontal="right" vertical="center" wrapText="1"/>
    </xf>
    <xf numFmtId="3" fontId="6" fillId="0" borderId="43" xfId="3" applyNumberFormat="1" applyFont="1" applyFill="1" applyBorder="1" applyAlignment="1">
      <alignment horizontal="right" vertical="center" wrapText="1"/>
    </xf>
    <xf numFmtId="172" fontId="6" fillId="0" borderId="19" xfId="3" applyNumberFormat="1" applyFont="1" applyFill="1" applyBorder="1" applyAlignment="1">
      <alignment horizontal="right" vertical="center" wrapText="1"/>
    </xf>
    <xf numFmtId="172" fontId="6" fillId="0" borderId="93" xfId="3" applyNumberFormat="1" applyFont="1" applyBorder="1" applyAlignment="1">
      <alignment horizontal="right" vertical="center" wrapText="1"/>
    </xf>
    <xf numFmtId="172" fontId="64" fillId="0" borderId="0" xfId="3" applyNumberFormat="1" applyFont="1" applyAlignment="1">
      <alignment horizontal="left" vertical="top" wrapText="1"/>
    </xf>
    <xf numFmtId="10" fontId="64" fillId="0" borderId="0" xfId="3" applyNumberFormat="1" applyFont="1" applyAlignment="1">
      <alignment horizontal="left" vertical="top" wrapText="1"/>
    </xf>
    <xf numFmtId="9" fontId="6" fillId="0" borderId="85" xfId="3" applyFont="1" applyBorder="1" applyAlignment="1">
      <alignment horizontal="center"/>
    </xf>
    <xf numFmtId="0" fontId="6" fillId="0" borderId="88" xfId="0" applyFont="1" applyBorder="1" applyAlignment="1">
      <alignment horizontal="left" vertical="top" wrapText="1"/>
    </xf>
    <xf numFmtId="0" fontId="6" fillId="0" borderId="127" xfId="0" applyFont="1" applyBorder="1" applyAlignment="1">
      <alignment horizontal="left" vertical="top" wrapText="1"/>
    </xf>
    <xf numFmtId="0" fontId="18" fillId="2" borderId="22" xfId="0" applyFont="1" applyFill="1" applyBorder="1" applyAlignment="1">
      <alignment horizontal="center"/>
    </xf>
    <xf numFmtId="173" fontId="6" fillId="0" borderId="82" xfId="1" applyNumberFormat="1" applyFont="1" applyFill="1" applyBorder="1" applyAlignment="1">
      <alignment horizontal="right" vertical="center" wrapText="1"/>
    </xf>
    <xf numFmtId="173" fontId="6" fillId="0" borderId="125" xfId="1" applyNumberFormat="1" applyFont="1" applyFill="1" applyBorder="1" applyAlignment="1">
      <alignment horizontal="right" vertical="center" wrapText="1"/>
    </xf>
    <xf numFmtId="0" fontId="6" fillId="54" borderId="87" xfId="0" applyFont="1" applyFill="1" applyBorder="1" applyAlignment="1">
      <alignment horizontal="left" vertical="center"/>
    </xf>
    <xf numFmtId="0" fontId="6" fillId="54" borderId="127" xfId="0" applyFont="1" applyFill="1" applyBorder="1" applyAlignment="1">
      <alignment horizontal="left" vertical="center" wrapText="1"/>
    </xf>
    <xf numFmtId="0" fontId="6" fillId="54" borderId="90" xfId="0" applyFont="1" applyFill="1" applyBorder="1" applyAlignment="1">
      <alignment horizontal="left" vertical="center" wrapText="1"/>
    </xf>
    <xf numFmtId="3" fontId="6" fillId="61" borderId="3" xfId="0" applyNumberFormat="1" applyFont="1" applyFill="1" applyBorder="1" applyAlignment="1">
      <alignment horizontal="right" vertical="center" wrapText="1"/>
    </xf>
    <xf numFmtId="170" fontId="6" fillId="3" borderId="101" xfId="9" applyNumberFormat="1" applyFont="1" applyFill="1" applyBorder="1" applyAlignment="1">
      <alignment horizontal="center"/>
    </xf>
    <xf numFmtId="170" fontId="6" fillId="3" borderId="92" xfId="9" applyNumberFormat="1" applyFont="1" applyFill="1" applyBorder="1" applyAlignment="1">
      <alignment horizontal="center"/>
    </xf>
    <xf numFmtId="170" fontId="6" fillId="3" borderId="94" xfId="9" applyNumberFormat="1" applyFont="1" applyFill="1" applyBorder="1" applyAlignment="1">
      <alignment horizontal="center"/>
    </xf>
    <xf numFmtId="170" fontId="6" fillId="3" borderId="35" xfId="9" applyNumberFormat="1" applyFont="1" applyFill="1" applyBorder="1" applyAlignment="1">
      <alignment horizontal="center"/>
    </xf>
    <xf numFmtId="0" fontId="6" fillId="0" borderId="41" xfId="9" applyFont="1" applyBorder="1" applyAlignment="1">
      <alignment horizontal="center"/>
    </xf>
    <xf numFmtId="0" fontId="6" fillId="0" borderId="18" xfId="9" applyFont="1" applyBorder="1" applyAlignment="1">
      <alignment horizontal="center"/>
    </xf>
    <xf numFmtId="0" fontId="6" fillId="0" borderId="154" xfId="9" applyFont="1" applyBorder="1" applyAlignment="1">
      <alignment horizontal="center"/>
    </xf>
    <xf numFmtId="3" fontId="6" fillId="3" borderId="41" xfId="9" applyNumberFormat="1" applyFont="1" applyFill="1" applyBorder="1" applyAlignment="1">
      <alignment horizontal="center" vertical="center"/>
    </xf>
    <xf numFmtId="3" fontId="6" fillId="3" borderId="29" xfId="9" applyNumberFormat="1" applyFont="1" applyFill="1" applyBorder="1" applyAlignment="1">
      <alignment horizontal="center" vertical="center"/>
    </xf>
    <xf numFmtId="3" fontId="6" fillId="3" borderId="127" xfId="0" applyNumberFormat="1" applyFont="1" applyFill="1" applyBorder="1" applyAlignment="1">
      <alignment horizontal="center" vertical="center"/>
    </xf>
    <xf numFmtId="3" fontId="6" fillId="3" borderId="36" xfId="9" applyNumberFormat="1" applyFont="1" applyFill="1" applyBorder="1" applyAlignment="1">
      <alignment horizontal="center" vertical="center"/>
    </xf>
    <xf numFmtId="3" fontId="6" fillId="3" borderId="34" xfId="9" applyNumberFormat="1" applyFont="1" applyFill="1" applyBorder="1" applyAlignment="1">
      <alignment horizontal="center" vertical="center"/>
    </xf>
    <xf numFmtId="3" fontId="6" fillId="3" borderId="86" xfId="0" applyNumberFormat="1" applyFont="1" applyFill="1" applyBorder="1" applyAlignment="1">
      <alignment horizontal="center" vertical="center"/>
    </xf>
    <xf numFmtId="0" fontId="55" fillId="0" borderId="113" xfId="9" applyFont="1" applyBorder="1" applyAlignment="1">
      <alignment vertical="center"/>
    </xf>
    <xf numFmtId="0" fontId="20" fillId="0" borderId="31" xfId="0" applyFont="1" applyBorder="1" applyAlignment="1">
      <alignment wrapText="1"/>
    </xf>
    <xf numFmtId="0" fontId="55" fillId="0" borderId="131" xfId="9" applyFont="1" applyBorder="1" applyAlignment="1">
      <alignment vertical="center"/>
    </xf>
    <xf numFmtId="0" fontId="55" fillId="0" borderId="36" xfId="9" applyFont="1" applyBorder="1" applyAlignment="1">
      <alignment vertical="center"/>
    </xf>
    <xf numFmtId="3" fontId="6" fillId="0" borderId="169" xfId="0" applyNumberFormat="1" applyFont="1" applyBorder="1" applyAlignment="1">
      <alignment horizontal="center"/>
    </xf>
    <xf numFmtId="3" fontId="6" fillId="0" borderId="29" xfId="0" applyNumberFormat="1" applyFont="1" applyBorder="1" applyAlignment="1">
      <alignment horizontal="center"/>
    </xf>
    <xf numFmtId="3" fontId="6" fillId="0" borderId="99" xfId="0" applyNumberFormat="1" applyFont="1" applyBorder="1" applyAlignment="1">
      <alignment horizontal="center"/>
    </xf>
    <xf numFmtId="3" fontId="6" fillId="3" borderId="169" xfId="0" applyNumberFormat="1" applyFont="1" applyFill="1" applyBorder="1" applyAlignment="1">
      <alignment horizontal="center" vertical="center"/>
    </xf>
    <xf numFmtId="3" fontId="6" fillId="3" borderId="29" xfId="0" applyNumberFormat="1" applyFont="1" applyFill="1" applyBorder="1" applyAlignment="1">
      <alignment horizontal="center" vertical="center"/>
    </xf>
    <xf numFmtId="3" fontId="6" fillId="3" borderId="101" xfId="9" applyNumberFormat="1" applyFont="1" applyFill="1" applyBorder="1" applyAlignment="1">
      <alignment horizontal="center" vertical="center"/>
    </xf>
    <xf numFmtId="0" fontId="6" fillId="0" borderId="36" xfId="9" applyFont="1" applyBorder="1" applyAlignment="1">
      <alignment horizontal="center"/>
    </xf>
    <xf numFmtId="3" fontId="6" fillId="0" borderId="84" xfId="0" applyNumberFormat="1" applyFont="1" applyBorder="1" applyAlignment="1">
      <alignment horizontal="center"/>
    </xf>
    <xf numFmtId="3" fontId="6" fillId="0" borderId="34" xfId="0" applyNumberFormat="1" applyFont="1" applyBorder="1" applyAlignment="1">
      <alignment horizontal="center"/>
    </xf>
    <xf numFmtId="3" fontId="6" fillId="0" borderId="35" xfId="0" applyNumberFormat="1" applyFont="1" applyBorder="1" applyAlignment="1">
      <alignment horizontal="center"/>
    </xf>
    <xf numFmtId="3" fontId="6" fillId="3" borderId="84" xfId="0" applyNumberFormat="1" applyFont="1" applyFill="1" applyBorder="1" applyAlignment="1">
      <alignment horizontal="center" vertical="center"/>
    </xf>
    <xf numFmtId="3" fontId="6" fillId="3" borderId="34" xfId="0" applyNumberFormat="1" applyFont="1" applyFill="1" applyBorder="1" applyAlignment="1">
      <alignment horizontal="center" vertical="center"/>
    </xf>
    <xf numFmtId="3" fontId="6" fillId="3" borderId="35" xfId="0" applyNumberFormat="1" applyFont="1" applyFill="1" applyBorder="1" applyAlignment="1">
      <alignment horizontal="center" vertical="center"/>
    </xf>
    <xf numFmtId="0" fontId="10" fillId="3" borderId="309" xfId="0" applyFont="1" applyFill="1" applyBorder="1"/>
    <xf numFmtId="0" fontId="6" fillId="3" borderId="454" xfId="0" applyFont="1" applyFill="1" applyBorder="1"/>
    <xf numFmtId="0" fontId="6" fillId="56" borderId="473" xfId="0" applyFont="1" applyFill="1" applyBorder="1" applyAlignment="1">
      <alignment horizontal="center"/>
    </xf>
    <xf numFmtId="0" fontId="6" fillId="56" borderId="470" xfId="0" applyFont="1" applyFill="1" applyBorder="1" applyAlignment="1">
      <alignment horizontal="left" vertical="center" wrapText="1"/>
    </xf>
    <xf numFmtId="0" fontId="6" fillId="2" borderId="131" xfId="0" applyFont="1" applyFill="1" applyBorder="1" applyAlignment="1">
      <alignment horizontal="left" vertical="center" wrapText="1"/>
    </xf>
    <xf numFmtId="0" fontId="6" fillId="56" borderId="471" xfId="0" applyFont="1" applyFill="1" applyBorder="1" applyAlignment="1">
      <alignment horizontal="left" vertical="center" wrapText="1"/>
    </xf>
    <xf numFmtId="0" fontId="6" fillId="2" borderId="468" xfId="0" applyFont="1" applyFill="1" applyBorder="1" applyAlignment="1">
      <alignment horizontal="left" vertical="center"/>
    </xf>
    <xf numFmtId="0" fontId="6" fillId="56" borderId="471" xfId="0" applyFont="1" applyFill="1" applyBorder="1" applyAlignment="1">
      <alignment horizontal="left" vertical="center"/>
    </xf>
    <xf numFmtId="0" fontId="6" fillId="2" borderId="467" xfId="0" applyFont="1" applyFill="1" applyBorder="1" applyAlignment="1">
      <alignment horizontal="left" vertical="center"/>
    </xf>
    <xf numFmtId="0" fontId="6" fillId="2" borderId="131" xfId="0" applyFont="1" applyFill="1" applyBorder="1" applyAlignment="1">
      <alignment horizontal="left" vertical="center"/>
    </xf>
    <xf numFmtId="0" fontId="6" fillId="56" borderId="410" xfId="0" applyFont="1" applyFill="1" applyBorder="1" applyAlignment="1">
      <alignment horizontal="left" vertical="center" wrapText="1"/>
    </xf>
    <xf numFmtId="0" fontId="6" fillId="56" borderId="472" xfId="0" applyFont="1" applyFill="1" applyBorder="1" applyAlignment="1">
      <alignment horizontal="left" vertical="center"/>
    </xf>
    <xf numFmtId="0" fontId="6" fillId="2" borderId="474" xfId="0" applyFont="1" applyFill="1" applyBorder="1" applyAlignment="1">
      <alignment horizontal="left" vertical="center"/>
    </xf>
    <xf numFmtId="0" fontId="10" fillId="56" borderId="406" xfId="0" applyFont="1" applyFill="1" applyBorder="1"/>
    <xf numFmtId="0" fontId="6" fillId="55" borderId="84" xfId="0" applyFont="1" applyFill="1" applyBorder="1" applyAlignment="1">
      <alignment horizontal="center"/>
    </xf>
    <xf numFmtId="0" fontId="6" fillId="55" borderId="35" xfId="0" applyFont="1" applyFill="1" applyBorder="1" applyAlignment="1">
      <alignment horizontal="center"/>
    </xf>
    <xf numFmtId="0" fontId="6" fillId="3" borderId="30" xfId="0" applyFont="1" applyFill="1" applyBorder="1" applyAlignment="1">
      <alignment horizontal="center" vertical="center"/>
    </xf>
    <xf numFmtId="9" fontId="6" fillId="3" borderId="127" xfId="3" applyFont="1" applyFill="1" applyBorder="1" applyAlignment="1">
      <alignment horizontal="center" vertical="center"/>
    </xf>
    <xf numFmtId="0" fontId="6" fillId="3" borderId="161" xfId="0" applyFont="1" applyFill="1" applyBorder="1" applyAlignment="1">
      <alignment horizontal="center" vertical="center"/>
    </xf>
    <xf numFmtId="9" fontId="6" fillId="3" borderId="157" xfId="3" applyFont="1" applyFill="1" applyBorder="1" applyAlignment="1">
      <alignment horizontal="center" vertical="center"/>
    </xf>
    <xf numFmtId="9" fontId="144" fillId="3" borderId="37" xfId="3" applyFont="1" applyFill="1" applyBorder="1" applyAlignment="1">
      <alignment horizontal="center" vertical="center"/>
    </xf>
    <xf numFmtId="172" fontId="6" fillId="0" borderId="5" xfId="3" applyNumberFormat="1" applyFont="1" applyFill="1" applyBorder="1" applyAlignment="1">
      <alignment horizontal="center" vertical="center"/>
    </xf>
    <xf numFmtId="172" fontId="11" fillId="0" borderId="34" xfId="3" applyNumberFormat="1" applyFont="1" applyFill="1" applyBorder="1" applyAlignment="1">
      <alignment horizontal="center" vertical="center"/>
    </xf>
    <xf numFmtId="172" fontId="6" fillId="0" borderId="13" xfId="3" applyNumberFormat="1" applyFont="1" applyFill="1" applyBorder="1" applyAlignment="1">
      <alignment horizontal="center" vertical="center"/>
    </xf>
    <xf numFmtId="172" fontId="11" fillId="0" borderId="129" xfId="3" applyNumberFormat="1" applyFont="1" applyFill="1" applyBorder="1" applyAlignment="1">
      <alignment horizontal="center" vertical="center"/>
    </xf>
    <xf numFmtId="172" fontId="6" fillId="0" borderId="4" xfId="3" applyNumberFormat="1" applyFont="1" applyFill="1" applyBorder="1" applyAlignment="1">
      <alignment horizontal="center" vertical="center"/>
    </xf>
    <xf numFmtId="172" fontId="6" fillId="0" borderId="7" xfId="3" applyNumberFormat="1" applyFont="1" applyFill="1" applyBorder="1" applyAlignment="1">
      <alignment horizontal="center" vertical="center"/>
    </xf>
    <xf numFmtId="172" fontId="11" fillId="0" borderId="37" xfId="3" applyNumberFormat="1" applyFont="1" applyFill="1" applyBorder="1" applyAlignment="1">
      <alignment horizontal="center" vertical="center"/>
    </xf>
    <xf numFmtId="0" fontId="6" fillId="0" borderId="507" xfId="0" applyFont="1" applyBorder="1" applyAlignment="1">
      <alignment horizontal="left" vertical="top" wrapText="1"/>
    </xf>
    <xf numFmtId="0" fontId="6" fillId="0" borderId="506" xfId="0" applyFont="1" applyBorder="1" applyAlignment="1">
      <alignment horizontal="left" vertical="top" wrapText="1"/>
    </xf>
    <xf numFmtId="3" fontId="6" fillId="0" borderId="30" xfId="0" applyNumberFormat="1" applyFont="1" applyBorder="1" applyAlignment="1">
      <alignment horizontal="right" vertical="top" wrapText="1"/>
    </xf>
    <xf numFmtId="3" fontId="6" fillId="0" borderId="413" xfId="0" applyNumberFormat="1" applyFont="1" applyBorder="1" applyAlignment="1">
      <alignment horizontal="right" vertical="top"/>
    </xf>
    <xf numFmtId="3" fontId="6" fillId="0" borderId="6" xfId="0" applyNumberFormat="1" applyFont="1" applyBorder="1" applyAlignment="1">
      <alignment horizontal="right" vertical="top"/>
    </xf>
    <xf numFmtId="0" fontId="18" fillId="2" borderId="88" xfId="0" applyFont="1" applyFill="1" applyBorder="1" applyAlignment="1">
      <alignment horizontal="center"/>
    </xf>
    <xf numFmtId="0" fontId="6" fillId="3" borderId="509" xfId="0" applyFont="1" applyFill="1" applyBorder="1" applyAlignment="1">
      <alignment horizontal="left" vertical="top" wrapText="1"/>
    </xf>
    <xf numFmtId="0" fontId="6" fillId="0" borderId="510" xfId="0" applyFont="1" applyBorder="1" applyAlignment="1">
      <alignment horizontal="left" vertical="top" wrapText="1"/>
    </xf>
    <xf numFmtId="0" fontId="6" fillId="0" borderId="511" xfId="0" applyFont="1" applyBorder="1" applyAlignment="1">
      <alignment horizontal="left" vertical="top" wrapText="1"/>
    </xf>
    <xf numFmtId="0" fontId="6" fillId="0" borderId="479" xfId="0" applyFont="1" applyBorder="1" applyAlignment="1">
      <alignment horizontal="left" vertical="top" wrapText="1"/>
    </xf>
    <xf numFmtId="0" fontId="6" fillId="0" borderId="464" xfId="0" applyFont="1" applyBorder="1" applyAlignment="1">
      <alignment horizontal="left" vertical="top" wrapText="1"/>
    </xf>
    <xf numFmtId="0" fontId="6" fillId="0" borderId="512" xfId="0" applyFont="1" applyBorder="1" applyAlignment="1">
      <alignment horizontal="left" vertical="top" wrapText="1"/>
    </xf>
    <xf numFmtId="0" fontId="6" fillId="0" borderId="90" xfId="0" applyFont="1" applyBorder="1" applyAlignment="1">
      <alignment horizontal="left" vertical="top" wrapText="1"/>
    </xf>
    <xf numFmtId="0" fontId="6" fillId="0" borderId="513" xfId="0" applyFont="1" applyBorder="1" applyAlignment="1">
      <alignment horizontal="left" vertical="top" wrapText="1"/>
    </xf>
    <xf numFmtId="0" fontId="6" fillId="0" borderId="42" xfId="0" applyFont="1" applyBorder="1" applyAlignment="1">
      <alignment horizontal="left" vertical="top" wrapText="1"/>
    </xf>
    <xf numFmtId="0" fontId="6" fillId="0" borderId="94" xfId="0" applyFont="1" applyBorder="1" applyAlignment="1">
      <alignment horizontal="left" vertical="top" wrapText="1"/>
    </xf>
    <xf numFmtId="0" fontId="6" fillId="0" borderId="40" xfId="0" applyFont="1" applyBorder="1" applyAlignment="1">
      <alignment horizontal="left" vertical="top"/>
    </xf>
    <xf numFmtId="3" fontId="6" fillId="0" borderId="514" xfId="0" applyNumberFormat="1" applyFont="1" applyBorder="1" applyAlignment="1">
      <alignment horizontal="right" vertical="top"/>
    </xf>
    <xf numFmtId="0" fontId="6" fillId="0" borderId="94" xfId="0" applyFont="1" applyBorder="1" applyAlignment="1">
      <alignment horizontal="left" vertical="top"/>
    </xf>
    <xf numFmtId="0" fontId="6" fillId="0" borderId="515" xfId="0" applyFont="1" applyBorder="1" applyAlignment="1">
      <alignment horizontal="left" vertical="top" wrapText="1"/>
    </xf>
    <xf numFmtId="0" fontId="6" fillId="0" borderId="97" xfId="0" applyFont="1" applyBorder="1" applyAlignment="1">
      <alignment horizontal="left" vertical="top" wrapText="1"/>
    </xf>
    <xf numFmtId="0" fontId="6" fillId="0" borderId="281" xfId="0" applyFont="1" applyBorder="1"/>
    <xf numFmtId="0" fontId="6" fillId="0" borderId="508" xfId="0" applyFont="1" applyBorder="1"/>
    <xf numFmtId="172" fontId="6" fillId="71" borderId="516" xfId="0" applyNumberFormat="1" applyFont="1" applyFill="1" applyBorder="1" applyAlignment="1">
      <alignment horizontal="center" vertical="center"/>
    </xf>
    <xf numFmtId="172" fontId="6" fillId="71" borderId="517" xfId="0" applyNumberFormat="1" applyFont="1" applyFill="1" applyBorder="1" applyAlignment="1">
      <alignment horizontal="center" vertical="center"/>
    </xf>
    <xf numFmtId="0" fontId="6" fillId="0" borderId="516" xfId="0" applyFont="1" applyBorder="1"/>
    <xf numFmtId="0" fontId="6" fillId="0" borderId="268" xfId="0" applyFont="1" applyBorder="1"/>
    <xf numFmtId="0" fontId="6" fillId="0" borderId="285" xfId="0" applyFont="1" applyBorder="1"/>
    <xf numFmtId="0" fontId="6" fillId="0" borderId="310" xfId="0" applyFont="1" applyBorder="1"/>
    <xf numFmtId="0" fontId="6" fillId="0" borderId="128" xfId="0" applyFont="1" applyBorder="1"/>
    <xf numFmtId="172" fontId="6" fillId="71" borderId="411" xfId="0" applyNumberFormat="1" applyFont="1" applyFill="1" applyBorder="1" applyAlignment="1">
      <alignment horizontal="center" vertical="center"/>
    </xf>
    <xf numFmtId="172" fontId="6" fillId="71" borderId="311" xfId="0" applyNumberFormat="1" applyFont="1" applyFill="1" applyBorder="1" applyAlignment="1">
      <alignment horizontal="center" vertical="center"/>
    </xf>
    <xf numFmtId="172" fontId="6" fillId="71" borderId="518" xfId="0" applyNumberFormat="1" applyFont="1" applyFill="1" applyBorder="1" applyAlignment="1">
      <alignment horizontal="center" vertical="center"/>
    </xf>
    <xf numFmtId="172" fontId="6" fillId="71" borderId="313" xfId="0" applyNumberFormat="1" applyFont="1" applyFill="1" applyBorder="1" applyAlignment="1">
      <alignment horizontal="center" vertical="center"/>
    </xf>
    <xf numFmtId="172" fontId="6" fillId="71" borderId="29" xfId="0" applyNumberFormat="1" applyFont="1" applyFill="1" applyBorder="1" applyAlignment="1">
      <alignment horizontal="center" vertical="center"/>
    </xf>
    <xf numFmtId="172" fontId="6" fillId="71" borderId="289" xfId="0" applyNumberFormat="1" applyFont="1" applyFill="1" applyBorder="1" applyAlignment="1">
      <alignment horizontal="center" vertical="center"/>
    </xf>
    <xf numFmtId="3" fontId="6" fillId="3" borderId="4" xfId="0" applyNumberFormat="1" applyFont="1" applyFill="1" applyBorder="1" applyAlignment="1">
      <alignment horizontal="center" vertical="center"/>
    </xf>
    <xf numFmtId="3" fontId="6" fillId="3" borderId="19" xfId="0" applyNumberFormat="1" applyFont="1" applyFill="1" applyBorder="1" applyAlignment="1">
      <alignment horizontal="center" vertical="center"/>
    </xf>
    <xf numFmtId="3" fontId="6" fillId="3" borderId="87" xfId="0" applyNumberFormat="1" applyFont="1" applyFill="1" applyBorder="1" applyAlignment="1">
      <alignment horizontal="center" vertical="center"/>
    </xf>
    <xf numFmtId="3" fontId="6" fillId="3" borderId="520" xfId="0" applyNumberFormat="1" applyFont="1" applyFill="1" applyBorder="1" applyAlignment="1">
      <alignment horizontal="center" vertical="center"/>
    </xf>
    <xf numFmtId="3" fontId="6" fillId="3" borderId="88" xfId="0" applyNumberFormat="1" applyFont="1" applyFill="1" applyBorder="1" applyAlignment="1">
      <alignment horizontal="center" vertical="center"/>
    </xf>
    <xf numFmtId="3" fontId="6" fillId="3" borderId="434" xfId="0" applyNumberFormat="1" applyFont="1" applyFill="1" applyBorder="1" applyAlignment="1">
      <alignment horizontal="center" vertical="center"/>
    </xf>
    <xf numFmtId="3" fontId="6" fillId="3" borderId="289" xfId="0" applyNumberFormat="1" applyFont="1" applyFill="1" applyBorder="1" applyAlignment="1">
      <alignment horizontal="center" vertical="center"/>
    </xf>
    <xf numFmtId="3" fontId="6" fillId="3" borderId="451" xfId="0" applyNumberFormat="1" applyFont="1" applyFill="1" applyBorder="1" applyAlignment="1">
      <alignment horizontal="center" vertical="center"/>
    </xf>
    <xf numFmtId="3" fontId="6" fillId="3" borderId="8" xfId="0" applyNumberFormat="1" applyFont="1" applyFill="1" applyBorder="1" applyAlignment="1">
      <alignment horizontal="center" vertical="center"/>
    </xf>
    <xf numFmtId="3" fontId="6" fillId="3" borderId="258" xfId="0" applyNumberFormat="1" applyFont="1" applyFill="1" applyBorder="1" applyAlignment="1">
      <alignment horizontal="center" vertical="center"/>
    </xf>
    <xf numFmtId="3" fontId="6" fillId="3" borderId="256" xfId="0" applyNumberFormat="1" applyFont="1" applyFill="1" applyBorder="1" applyAlignment="1">
      <alignment horizontal="center" vertical="center"/>
    </xf>
    <xf numFmtId="3" fontId="6" fillId="3" borderId="499" xfId="0" applyNumberFormat="1" applyFont="1" applyFill="1" applyBorder="1" applyAlignment="1">
      <alignment horizontal="center" vertical="center"/>
    </xf>
    <xf numFmtId="3" fontId="6" fillId="3" borderId="280" xfId="0" applyNumberFormat="1" applyFont="1" applyFill="1" applyBorder="1" applyAlignment="1">
      <alignment horizontal="center" vertical="center"/>
    </xf>
    <xf numFmtId="3" fontId="6" fillId="3" borderId="323" xfId="0" applyNumberFormat="1" applyFont="1" applyFill="1" applyBorder="1" applyAlignment="1">
      <alignment horizontal="center" vertical="center"/>
    </xf>
    <xf numFmtId="3" fontId="6" fillId="3" borderId="519" xfId="0" applyNumberFormat="1" applyFont="1" applyFill="1" applyBorder="1" applyAlignment="1">
      <alignment horizontal="center" vertical="center"/>
    </xf>
    <xf numFmtId="3" fontId="6" fillId="3" borderId="440" xfId="0" applyNumberFormat="1" applyFont="1" applyFill="1" applyBorder="1" applyAlignment="1">
      <alignment horizontal="center" vertical="center"/>
    </xf>
    <xf numFmtId="3" fontId="6" fillId="3" borderId="439" xfId="0" applyNumberFormat="1" applyFont="1" applyFill="1" applyBorder="1" applyAlignment="1">
      <alignment horizontal="center" vertical="center"/>
    </xf>
    <xf numFmtId="3" fontId="6" fillId="3" borderId="320" xfId="0" applyNumberFormat="1" applyFont="1" applyFill="1" applyBorder="1" applyAlignment="1">
      <alignment horizontal="center" vertical="center"/>
    </xf>
    <xf numFmtId="3" fontId="6" fillId="3" borderId="398" xfId="0" applyNumberFormat="1" applyFont="1" applyFill="1" applyBorder="1" applyAlignment="1">
      <alignment horizontal="center" vertical="center"/>
    </xf>
    <xf numFmtId="3" fontId="6" fillId="3" borderId="413" xfId="0" applyNumberFormat="1" applyFont="1" applyFill="1" applyBorder="1" applyAlignment="1">
      <alignment horizontal="center" vertical="center"/>
    </xf>
    <xf numFmtId="3" fontId="6" fillId="4" borderId="4" xfId="0" applyNumberFormat="1" applyFont="1" applyFill="1" applyBorder="1" applyAlignment="1">
      <alignment horizontal="center" vertical="center"/>
    </xf>
    <xf numFmtId="3" fontId="6" fillId="4" borderId="5" xfId="0" applyNumberFormat="1" applyFont="1" applyFill="1" applyBorder="1" applyAlignment="1">
      <alignment horizontal="center" vertical="center"/>
    </xf>
    <xf numFmtId="3" fontId="6" fillId="4" borderId="33" xfId="0" applyNumberFormat="1" applyFont="1" applyFill="1" applyBorder="1" applyAlignment="1">
      <alignment horizontal="center" vertical="center"/>
    </xf>
    <xf numFmtId="3" fontId="6" fillId="4" borderId="19" xfId="0" applyNumberFormat="1" applyFont="1" applyFill="1" applyBorder="1" applyAlignment="1">
      <alignment horizontal="center" vertical="center"/>
    </xf>
    <xf numFmtId="3" fontId="6" fillId="4" borderId="28" xfId="0" applyNumberFormat="1" applyFont="1" applyFill="1" applyBorder="1" applyAlignment="1">
      <alignment horizontal="center" vertical="center"/>
    </xf>
    <xf numFmtId="3" fontId="6" fillId="4" borderId="83" xfId="0" applyNumberFormat="1" applyFont="1" applyFill="1" applyBorder="1" applyAlignment="1">
      <alignment horizontal="center" vertical="center"/>
    </xf>
    <xf numFmtId="3" fontId="6" fillId="4" borderId="1" xfId="0" applyNumberFormat="1" applyFont="1" applyFill="1" applyBorder="1" applyAlignment="1">
      <alignment horizontal="center" vertical="center"/>
    </xf>
    <xf numFmtId="3" fontId="6" fillId="4" borderId="84" xfId="0" applyNumberFormat="1" applyFont="1" applyFill="1" applyBorder="1" applyAlignment="1">
      <alignment horizontal="center" vertical="center"/>
    </xf>
    <xf numFmtId="3" fontId="6" fillId="4" borderId="34" xfId="0" applyNumberFormat="1" applyFont="1" applyFill="1" applyBorder="1" applyAlignment="1">
      <alignment horizontal="center" vertical="center"/>
    </xf>
    <xf numFmtId="3" fontId="6" fillId="4" borderId="86" xfId="0" applyNumberFormat="1" applyFont="1" applyFill="1" applyBorder="1" applyAlignment="1">
      <alignment horizontal="center" vertical="center"/>
    </xf>
    <xf numFmtId="3" fontId="11" fillId="3" borderId="127" xfId="0" applyNumberFormat="1" applyFont="1" applyFill="1" applyBorder="1" applyAlignment="1">
      <alignment horizontal="center" vertical="center"/>
    </xf>
    <xf numFmtId="0" fontId="18" fillId="3" borderId="127" xfId="0" applyFont="1" applyFill="1" applyBorder="1"/>
    <xf numFmtId="182" fontId="21" fillId="3" borderId="521" xfId="0" applyNumberFormat="1" applyFont="1" applyFill="1" applyBorder="1" applyAlignment="1">
      <alignment horizontal="center" vertical="center"/>
    </xf>
    <xf numFmtId="182" fontId="21" fillId="76" borderId="522" xfId="0" applyNumberFormat="1" applyFont="1" applyFill="1" applyBorder="1" applyAlignment="1">
      <alignment horizontal="center" vertical="center"/>
    </xf>
    <xf numFmtId="182" fontId="6" fillId="3" borderId="0" xfId="0" applyNumberFormat="1" applyFont="1" applyFill="1" applyAlignment="1">
      <alignment horizontal="center" vertical="center"/>
    </xf>
    <xf numFmtId="182" fontId="6" fillId="76" borderId="523" xfId="0" applyNumberFormat="1" applyFont="1" applyFill="1" applyBorder="1" applyAlignment="1">
      <alignment horizontal="center" vertical="center"/>
    </xf>
    <xf numFmtId="182" fontId="6" fillId="76" borderId="16" xfId="0" applyNumberFormat="1" applyFont="1" applyFill="1" applyBorder="1" applyAlignment="1">
      <alignment horizontal="center" vertical="center"/>
    </xf>
    <xf numFmtId="182" fontId="6" fillId="3" borderId="365" xfId="0" applyNumberFormat="1" applyFont="1" applyFill="1" applyBorder="1" applyAlignment="1">
      <alignment horizontal="center" vertical="center"/>
    </xf>
    <xf numFmtId="182" fontId="6" fillId="76" borderId="369" xfId="0" applyNumberFormat="1" applyFont="1" applyFill="1" applyBorder="1" applyAlignment="1">
      <alignment horizontal="center" vertical="center"/>
    </xf>
    <xf numFmtId="182" fontId="6" fillId="76" borderId="524" xfId="0" applyNumberFormat="1" applyFont="1" applyFill="1" applyBorder="1" applyAlignment="1">
      <alignment horizontal="center" vertical="center"/>
    </xf>
    <xf numFmtId="0" fontId="6" fillId="56" borderId="91" xfId="0" applyFont="1" applyFill="1" applyBorder="1" applyAlignment="1">
      <alignment vertical="center" wrapText="1"/>
    </xf>
    <xf numFmtId="0" fontId="6" fillId="0" borderId="469" xfId="0" applyFont="1" applyBorder="1" applyAlignment="1">
      <alignment horizontal="center" vertical="center"/>
    </xf>
    <xf numFmtId="0" fontId="6" fillId="56" borderId="156" xfId="0" applyFont="1" applyFill="1" applyBorder="1" applyAlignment="1">
      <alignment vertical="center" wrapText="1"/>
    </xf>
    <xf numFmtId="0" fontId="6" fillId="0" borderId="475" xfId="0" applyFont="1" applyBorder="1" applyAlignment="1">
      <alignment horizontal="center" vertical="center"/>
    </xf>
    <xf numFmtId="0" fontId="6" fillId="56" borderId="405" xfId="0" applyFont="1" applyFill="1" applyBorder="1" applyAlignment="1">
      <alignment horizontal="center" vertical="center"/>
    </xf>
    <xf numFmtId="173" fontId="6" fillId="0" borderId="1" xfId="1" applyNumberFormat="1" applyFont="1" applyBorder="1" applyAlignment="1">
      <alignment horizontal="right" vertical="center" wrapText="1"/>
    </xf>
    <xf numFmtId="9" fontId="6" fillId="0" borderId="93" xfId="3" applyFont="1" applyBorder="1" applyAlignment="1">
      <alignment horizontal="right" vertical="center" wrapText="1"/>
    </xf>
    <xf numFmtId="3" fontId="6" fillId="0" borderId="158" xfId="3" applyNumberFormat="1" applyFont="1" applyBorder="1" applyAlignment="1">
      <alignment horizontal="right" vertical="center" wrapText="1"/>
    </xf>
    <xf numFmtId="3" fontId="6" fillId="0" borderId="93" xfId="3" applyNumberFormat="1" applyFont="1" applyBorder="1" applyAlignment="1">
      <alignment horizontal="right" vertical="center" wrapText="1"/>
    </xf>
    <xf numFmtId="173" fontId="6" fillId="0" borderId="15" xfId="1" applyNumberFormat="1" applyFont="1" applyBorder="1" applyAlignment="1">
      <alignment horizontal="right" vertical="center" wrapText="1"/>
    </xf>
    <xf numFmtId="3" fontId="6" fillId="0" borderId="4" xfId="1" applyNumberFormat="1" applyFont="1" applyBorder="1" applyAlignment="1">
      <alignment horizontal="right" vertical="center" wrapText="1"/>
    </xf>
    <xf numFmtId="3" fontId="6" fillId="0" borderId="5" xfId="1" applyNumberFormat="1" applyFont="1" applyBorder="1" applyAlignment="1">
      <alignment horizontal="right" vertical="center" wrapText="1"/>
    </xf>
    <xf numFmtId="173" fontId="6" fillId="0" borderId="43" xfId="1" applyNumberFormat="1" applyFont="1" applyBorder="1" applyAlignment="1">
      <alignment horizontal="right" vertical="center" wrapText="1"/>
    </xf>
    <xf numFmtId="173" fontId="6" fillId="0" borderId="164" xfId="1" applyNumberFormat="1" applyFont="1" applyBorder="1" applyAlignment="1">
      <alignment horizontal="right" vertical="center" wrapText="1"/>
    </xf>
    <xf numFmtId="3" fontId="6" fillId="0" borderId="34" xfId="1" applyNumberFormat="1" applyFont="1" applyBorder="1" applyAlignment="1">
      <alignment horizontal="right" vertical="center" wrapText="1"/>
    </xf>
    <xf numFmtId="173" fontId="26" fillId="0" borderId="6" xfId="1" applyNumberFormat="1" applyFont="1" applyBorder="1" applyAlignment="1">
      <alignment horizontal="right" vertical="center" wrapText="1"/>
    </xf>
    <xf numFmtId="3" fontId="26" fillId="0" borderId="6" xfId="1" applyNumberFormat="1" applyFont="1" applyBorder="1" applyAlignment="1">
      <alignment horizontal="right" vertical="center" wrapText="1"/>
    </xf>
    <xf numFmtId="173" fontId="26" fillId="0" borderId="3" xfId="1" applyNumberFormat="1" applyFont="1" applyBorder="1" applyAlignment="1">
      <alignment horizontal="right" vertical="center" wrapText="1"/>
    </xf>
    <xf numFmtId="3" fontId="26" fillId="0" borderId="3" xfId="1" applyNumberFormat="1" applyFont="1" applyBorder="1" applyAlignment="1">
      <alignment horizontal="right" vertical="center" wrapText="1"/>
    </xf>
    <xf numFmtId="173" fontId="6" fillId="0" borderId="3" xfId="1" applyNumberFormat="1" applyFont="1" applyBorder="1" applyAlignment="1">
      <alignment horizontal="right" vertical="center" wrapText="1"/>
    </xf>
    <xf numFmtId="3" fontId="6" fillId="0" borderId="3" xfId="1" applyNumberFormat="1" applyFont="1" applyBorder="1" applyAlignment="1">
      <alignment horizontal="right" vertical="center" wrapText="1"/>
    </xf>
    <xf numFmtId="169" fontId="6" fillId="0" borderId="1" xfId="1" applyFont="1" applyBorder="1" applyAlignment="1">
      <alignment horizontal="right" vertical="center" wrapText="1"/>
    </xf>
    <xf numFmtId="174" fontId="6" fillId="0" borderId="3" xfId="1" applyNumberFormat="1" applyFont="1" applyBorder="1" applyAlignment="1">
      <alignment horizontal="right" vertical="center" wrapText="1"/>
    </xf>
    <xf numFmtId="174" fontId="6" fillId="0" borderId="1" xfId="1" applyNumberFormat="1" applyFont="1" applyBorder="1" applyAlignment="1">
      <alignment horizontal="right" vertical="center" wrapText="1"/>
    </xf>
    <xf numFmtId="0" fontId="6" fillId="0" borderId="2" xfId="9" applyFont="1" applyBorder="1" applyAlignment="1">
      <alignment horizontal="center"/>
    </xf>
    <xf numFmtId="0" fontId="6" fillId="0" borderId="29" xfId="9" applyFont="1" applyBorder="1" applyAlignment="1">
      <alignment horizontal="center"/>
    </xf>
    <xf numFmtId="0" fontId="6" fillId="0" borderId="52" xfId="9" applyFont="1" applyBorder="1" applyAlignment="1">
      <alignment horizontal="center"/>
    </xf>
    <xf numFmtId="0" fontId="6" fillId="0" borderId="34" xfId="9" applyFont="1" applyBorder="1" applyAlignment="1">
      <alignment horizontal="center"/>
    </xf>
    <xf numFmtId="0" fontId="6" fillId="0" borderId="85" xfId="9" applyFont="1" applyBorder="1" applyAlignment="1">
      <alignment horizontal="center"/>
    </xf>
    <xf numFmtId="3" fontId="6" fillId="0" borderId="127" xfId="0" applyNumberFormat="1" applyFont="1" applyBorder="1" applyAlignment="1">
      <alignment horizontal="center"/>
    </xf>
    <xf numFmtId="3" fontId="6" fillId="0" borderId="129" xfId="0" applyNumberFormat="1" applyFont="1" applyBorder="1" applyAlignment="1">
      <alignment horizontal="center"/>
    </xf>
    <xf numFmtId="9" fontId="62" fillId="0" borderId="0" xfId="0" applyNumberFormat="1" applyFont="1"/>
    <xf numFmtId="0" fontId="50" fillId="56" borderId="88" xfId="0" applyFont="1" applyFill="1" applyBorder="1" applyAlignment="1">
      <alignment horizontal="center" vertical="center" wrapText="1"/>
    </xf>
    <xf numFmtId="4" fontId="6" fillId="0" borderId="1" xfId="0" applyNumberFormat="1" applyFont="1" applyBorder="1" applyAlignment="1">
      <alignment horizontal="right" vertical="center" wrapText="1"/>
    </xf>
    <xf numFmtId="0" fontId="6" fillId="54" borderId="88" xfId="0" applyFont="1" applyFill="1" applyBorder="1" applyAlignment="1">
      <alignment horizontal="left" vertical="center" wrapText="1"/>
    </xf>
    <xf numFmtId="3" fontId="6" fillId="0" borderId="83" xfId="0" applyNumberFormat="1" applyFont="1" applyBorder="1" applyAlignment="1">
      <alignment horizontal="right" vertical="center" wrapText="1"/>
    </xf>
    <xf numFmtId="3" fontId="6" fillId="0" borderId="83" xfId="1" applyNumberFormat="1" applyFont="1" applyFill="1" applyBorder="1" applyAlignment="1">
      <alignment horizontal="right" vertical="center" wrapText="1"/>
    </xf>
    <xf numFmtId="3" fontId="26" fillId="0" borderId="83" xfId="1" applyNumberFormat="1" applyFont="1" applyFill="1" applyBorder="1" applyAlignment="1">
      <alignment horizontal="right" vertical="center" wrapText="1"/>
    </xf>
    <xf numFmtId="169" fontId="6" fillId="0" borderId="2" xfId="1" applyFont="1" applyFill="1" applyBorder="1" applyAlignment="1">
      <alignment horizontal="right" vertical="center" wrapText="1"/>
    </xf>
    <xf numFmtId="4" fontId="6" fillId="0" borderId="2" xfId="1" applyNumberFormat="1" applyFont="1" applyFill="1" applyBorder="1" applyAlignment="1">
      <alignment horizontal="right" vertical="center" wrapText="1"/>
    </xf>
    <xf numFmtId="3" fontId="6" fillId="0" borderId="161" xfId="0" applyNumberFormat="1" applyFont="1" applyBorder="1" applyAlignment="1">
      <alignment horizontal="right" vertical="center" wrapText="1"/>
    </xf>
    <xf numFmtId="173" fontId="6" fillId="0" borderId="0" xfId="0" applyNumberFormat="1" applyFont="1" applyAlignment="1">
      <alignment horizontal="right" vertical="center" wrapText="1"/>
    </xf>
    <xf numFmtId="173" fontId="6" fillId="0" borderId="161" xfId="0" applyNumberFormat="1" applyFont="1" applyBorder="1" applyAlignment="1">
      <alignment horizontal="right" vertical="center" wrapText="1"/>
    </xf>
    <xf numFmtId="173" fontId="6" fillId="0" borderId="157" xfId="0" applyNumberFormat="1" applyFont="1" applyBorder="1" applyAlignment="1">
      <alignment horizontal="right" vertical="center" wrapText="1"/>
    </xf>
    <xf numFmtId="173" fontId="6" fillId="0" borderId="104" xfId="0" applyNumberFormat="1" applyFont="1" applyBorder="1" applyAlignment="1">
      <alignment horizontal="right" vertical="center" wrapText="1"/>
    </xf>
    <xf numFmtId="173" fontId="6" fillId="0" borderId="158" xfId="0" applyNumberFormat="1" applyFont="1" applyBorder="1" applyAlignment="1">
      <alignment horizontal="right" vertical="center" wrapText="1"/>
    </xf>
    <xf numFmtId="3" fontId="6" fillId="3" borderId="192" xfId="0" applyNumberFormat="1" applyFont="1" applyFill="1" applyBorder="1" applyAlignment="1">
      <alignment horizontal="center" vertical="center" wrapText="1"/>
    </xf>
    <xf numFmtId="0" fontId="7" fillId="55" borderId="13" xfId="0" applyFont="1" applyFill="1" applyBorder="1" applyAlignment="1">
      <alignment horizontal="left" vertical="center" wrapText="1"/>
    </xf>
    <xf numFmtId="3" fontId="7" fillId="3" borderId="187" xfId="0" applyNumberFormat="1" applyFont="1" applyFill="1" applyBorder="1" applyAlignment="1">
      <alignment horizontal="center" vertical="center" wrapText="1"/>
    </xf>
    <xf numFmtId="0" fontId="6" fillId="55" borderId="67" xfId="0" applyFont="1" applyFill="1" applyBorder="1" applyAlignment="1">
      <alignment horizontal="left" vertical="center" wrapText="1"/>
    </xf>
    <xf numFmtId="3" fontId="7" fillId="3" borderId="12" xfId="0" applyNumberFormat="1" applyFont="1" applyFill="1" applyBorder="1" applyAlignment="1">
      <alignment horizontal="center" vertical="center" wrapText="1"/>
    </xf>
    <xf numFmtId="173" fontId="6" fillId="0" borderId="160" xfId="0" applyNumberFormat="1" applyFont="1" applyBorder="1" applyAlignment="1">
      <alignment horizontal="right" vertical="center" wrapText="1"/>
    </xf>
    <xf numFmtId="173" fontId="6" fillId="0" borderId="93" xfId="0" applyNumberFormat="1" applyFont="1" applyBorder="1" applyAlignment="1">
      <alignment horizontal="right" vertical="center" wrapText="1"/>
    </xf>
    <xf numFmtId="0" fontId="6" fillId="0" borderId="93" xfId="0" applyFont="1" applyBorder="1" applyAlignment="1">
      <alignment horizontal="right" vertical="center" wrapText="1"/>
    </xf>
    <xf numFmtId="0" fontId="6" fillId="0" borderId="43" xfId="0" applyFont="1" applyBorder="1" applyAlignment="1">
      <alignment horizontal="right" vertical="center" wrapText="1"/>
    </xf>
    <xf numFmtId="3" fontId="6" fillId="0" borderId="5" xfId="0" applyNumberFormat="1" applyFont="1" applyBorder="1" applyAlignment="1">
      <alignment horizontal="right" vertical="center" wrapText="1"/>
    </xf>
    <xf numFmtId="3" fontId="26" fillId="0" borderId="5" xfId="1" applyNumberFormat="1" applyFont="1" applyFill="1" applyBorder="1" applyAlignment="1">
      <alignment horizontal="right" vertical="center" wrapText="1"/>
    </xf>
    <xf numFmtId="0" fontId="6" fillId="54" borderId="104" xfId="0" applyFont="1" applyFill="1" applyBorder="1" applyAlignment="1">
      <alignment horizontal="left" vertical="center" wrapText="1"/>
    </xf>
    <xf numFmtId="173" fontId="6" fillId="0" borderId="38" xfId="0" applyNumberFormat="1" applyFont="1" applyBorder="1" applyAlignment="1">
      <alignment horizontal="right" vertical="center" wrapText="1"/>
    </xf>
    <xf numFmtId="3" fontId="21" fillId="54" borderId="31" xfId="0" applyNumberFormat="1" applyFont="1" applyFill="1" applyBorder="1" applyAlignment="1">
      <alignment horizontal="right" vertical="center" wrapText="1"/>
    </xf>
    <xf numFmtId="3" fontId="21" fillId="54" borderId="80" xfId="0" applyNumberFormat="1" applyFont="1" applyFill="1" applyBorder="1" applyAlignment="1">
      <alignment horizontal="right" vertical="center" wrapText="1"/>
    </xf>
    <xf numFmtId="3" fontId="21" fillId="54" borderId="81" xfId="0" applyNumberFormat="1" applyFont="1" applyFill="1" applyBorder="1" applyAlignment="1">
      <alignment horizontal="right" vertical="center" wrapText="1"/>
    </xf>
    <xf numFmtId="3" fontId="21" fillId="54" borderId="101" xfId="0" applyNumberFormat="1" applyFont="1" applyFill="1" applyBorder="1" applyAlignment="1">
      <alignment horizontal="right" vertical="center" wrapText="1"/>
    </xf>
    <xf numFmtId="3" fontId="21" fillId="54" borderId="33" xfId="0" applyNumberFormat="1" applyFont="1" applyFill="1" applyBorder="1" applyAlignment="1">
      <alignment horizontal="right" vertical="center" wrapText="1"/>
    </xf>
    <xf numFmtId="0" fontId="6" fillId="0" borderId="161" xfId="0" applyFont="1" applyBorder="1" applyAlignment="1">
      <alignment horizontal="right" vertical="center" wrapText="1"/>
    </xf>
    <xf numFmtId="0" fontId="6" fillId="0" borderId="159" xfId="0" applyFont="1" applyBorder="1" applyAlignment="1">
      <alignment horizontal="right" vertical="center" wrapText="1"/>
    </xf>
    <xf numFmtId="0" fontId="6" fillId="0" borderId="38" xfId="0" applyFont="1" applyBorder="1" applyAlignment="1">
      <alignment horizontal="right" vertical="center" wrapText="1"/>
    </xf>
    <xf numFmtId="173" fontId="6" fillId="0" borderId="159" xfId="0" applyNumberFormat="1" applyFont="1" applyBorder="1" applyAlignment="1">
      <alignment horizontal="right" vertical="center" wrapText="1"/>
    </xf>
    <xf numFmtId="3" fontId="6" fillId="0" borderId="38" xfId="0" applyNumberFormat="1" applyFont="1" applyBorder="1" applyAlignment="1">
      <alignment horizontal="right" vertical="center" wrapText="1"/>
    </xf>
    <xf numFmtId="173" fontId="6" fillId="0" borderId="4" xfId="1" applyNumberFormat="1" applyFont="1" applyBorder="1" applyAlignment="1">
      <alignment horizontal="right" vertical="center" wrapText="1"/>
    </xf>
    <xf numFmtId="0" fontId="6" fillId="54" borderId="52" xfId="0" applyFont="1" applyFill="1" applyBorder="1" applyAlignment="1">
      <alignment horizontal="left" vertical="center" wrapText="1"/>
    </xf>
    <xf numFmtId="0" fontId="6" fillId="54" borderId="101" xfId="0" applyFont="1" applyFill="1" applyBorder="1" applyAlignment="1">
      <alignment horizontal="left" vertical="center" wrapText="1"/>
    </xf>
    <xf numFmtId="0" fontId="6" fillId="54" borderId="35" xfId="0" applyFont="1" applyFill="1" applyBorder="1" applyAlignment="1">
      <alignment horizontal="left" vertical="center" wrapText="1"/>
    </xf>
    <xf numFmtId="0" fontId="6" fillId="54" borderId="161" xfId="0" applyFont="1" applyFill="1" applyBorder="1" applyAlignment="1">
      <alignment horizontal="left" vertical="center" wrapText="1"/>
    </xf>
    <xf numFmtId="0" fontId="9" fillId="0" borderId="70" xfId="0" applyFont="1" applyBorder="1" applyAlignment="1">
      <alignment horizontal="center" vertical="center"/>
    </xf>
    <xf numFmtId="174" fontId="6" fillId="0" borderId="53" xfId="1" applyNumberFormat="1" applyFont="1" applyFill="1" applyBorder="1" applyAlignment="1">
      <alignment horizontal="right" vertical="center" wrapText="1"/>
    </xf>
    <xf numFmtId="174" fontId="6" fillId="0" borderId="230" xfId="1" applyNumberFormat="1" applyFont="1" applyFill="1" applyBorder="1" applyAlignment="1">
      <alignment horizontal="right" vertical="center" wrapText="1"/>
    </xf>
    <xf numFmtId="169" fontId="6" fillId="0" borderId="241" xfId="1" applyFont="1" applyFill="1" applyBorder="1" applyAlignment="1">
      <alignment horizontal="right" vertical="center" wrapText="1"/>
    </xf>
    <xf numFmtId="169" fontId="6" fillId="0" borderId="53" xfId="1" applyFont="1" applyFill="1" applyBorder="1" applyAlignment="1">
      <alignment horizontal="right" vertical="center" wrapText="1"/>
    </xf>
    <xf numFmtId="169" fontId="6" fillId="0" borderId="112" xfId="1" applyFont="1" applyFill="1" applyBorder="1" applyAlignment="1">
      <alignment horizontal="right" vertical="center" wrapText="1"/>
    </xf>
    <xf numFmtId="3" fontId="6" fillId="0" borderId="53" xfId="1" applyNumberFormat="1" applyFont="1" applyFill="1" applyBorder="1" applyAlignment="1">
      <alignment horizontal="right" vertical="center" wrapText="1"/>
    </xf>
    <xf numFmtId="169" fontId="6" fillId="0" borderId="230" xfId="1" applyFont="1" applyFill="1" applyBorder="1" applyAlignment="1">
      <alignment horizontal="right" vertical="center" wrapText="1"/>
    </xf>
    <xf numFmtId="174" fontId="6" fillId="0" borderId="112" xfId="1" applyNumberFormat="1" applyFont="1" applyFill="1" applyBorder="1" applyAlignment="1">
      <alignment horizontal="right" vertical="center" wrapText="1"/>
    </xf>
    <xf numFmtId="174" fontId="6" fillId="0" borderId="77" xfId="1" applyNumberFormat="1" applyFont="1" applyFill="1" applyBorder="1" applyAlignment="1">
      <alignment horizontal="right" vertical="center" wrapText="1"/>
    </xf>
    <xf numFmtId="169" fontId="6" fillId="0" borderId="241" xfId="1" applyFont="1" applyBorder="1" applyAlignment="1">
      <alignment horizontal="right" vertical="center" wrapText="1"/>
    </xf>
    <xf numFmtId="174" fontId="6" fillId="0" borderId="112" xfId="1" applyNumberFormat="1" applyFont="1" applyBorder="1" applyAlignment="1">
      <alignment horizontal="right" vertical="center" wrapText="1"/>
    </xf>
    <xf numFmtId="174" fontId="6" fillId="0" borderId="53" xfId="1" applyNumberFormat="1" applyFont="1" applyBorder="1" applyAlignment="1">
      <alignment horizontal="right" vertical="center" wrapText="1"/>
    </xf>
    <xf numFmtId="184" fontId="6" fillId="0" borderId="112" xfId="1" applyNumberFormat="1" applyFont="1" applyFill="1" applyBorder="1" applyAlignment="1">
      <alignment horizontal="right" vertical="center" wrapText="1"/>
    </xf>
    <xf numFmtId="169" fontId="6" fillId="0" borderId="53" xfId="1" applyFont="1" applyBorder="1" applyAlignment="1">
      <alignment horizontal="right" vertical="center" wrapText="1"/>
    </xf>
    <xf numFmtId="3" fontId="6" fillId="0" borderId="18" xfId="0" applyNumberFormat="1" applyFont="1" applyBorder="1" applyAlignment="1">
      <alignment horizontal="right" vertical="center" wrapText="1"/>
    </xf>
    <xf numFmtId="173" fontId="6" fillId="0" borderId="19" xfId="1" applyNumberFormat="1" applyFont="1" applyBorder="1" applyAlignment="1">
      <alignment horizontal="right" vertical="center" wrapText="1"/>
    </xf>
    <xf numFmtId="3" fontId="6" fillId="0" borderId="40" xfId="0" applyNumberFormat="1" applyFont="1" applyBorder="1" applyAlignment="1">
      <alignment horizontal="right" vertical="center" wrapText="1"/>
    </xf>
    <xf numFmtId="3" fontId="6" fillId="0" borderId="127" xfId="0" applyNumberFormat="1" applyFont="1" applyBorder="1" applyAlignment="1">
      <alignment horizontal="right" vertical="center" wrapText="1"/>
    </xf>
    <xf numFmtId="3" fontId="6" fillId="3" borderId="19" xfId="0" applyNumberFormat="1" applyFont="1" applyFill="1" applyBorder="1" applyAlignment="1">
      <alignment horizontal="right" vertical="center" wrapText="1"/>
    </xf>
    <xf numFmtId="169" fontId="6" fillId="54" borderId="92" xfId="1" applyFont="1" applyFill="1" applyBorder="1" applyAlignment="1">
      <alignment horizontal="left" vertical="center" wrapText="1"/>
    </xf>
    <xf numFmtId="169" fontId="6" fillId="54" borderId="230" xfId="1" applyFont="1" applyFill="1" applyBorder="1" applyAlignment="1">
      <alignment horizontal="left" vertical="center" wrapText="1"/>
    </xf>
    <xf numFmtId="185" fontId="6" fillId="0" borderId="1" xfId="0" applyNumberFormat="1" applyFont="1" applyBorder="1" applyAlignment="1">
      <alignment horizontal="right" vertical="center" wrapText="1"/>
    </xf>
    <xf numFmtId="0" fontId="6" fillId="54" borderId="2" xfId="0" applyFont="1" applyFill="1" applyBorder="1" applyAlignment="1">
      <alignment horizontal="left" vertical="center" wrapText="1"/>
    </xf>
    <xf numFmtId="3" fontId="6" fillId="0" borderId="84" xfId="0" applyNumberFormat="1" applyFont="1" applyBorder="1" applyAlignment="1">
      <alignment horizontal="right" vertical="center" wrapText="1"/>
    </xf>
    <xf numFmtId="3" fontId="21" fillId="54" borderId="104" xfId="0" applyNumberFormat="1" applyFont="1" applyFill="1" applyBorder="1" applyAlignment="1">
      <alignment horizontal="right" vertical="center" wrapText="1"/>
    </xf>
    <xf numFmtId="3" fontId="21" fillId="54" borderId="20" xfId="0" applyNumberFormat="1" applyFont="1" applyFill="1" applyBorder="1" applyAlignment="1">
      <alignment horizontal="right" vertical="center" wrapText="1"/>
    </xf>
    <xf numFmtId="0" fontId="50" fillId="56" borderId="0" xfId="0" applyFont="1" applyFill="1" applyAlignment="1">
      <alignment horizontal="center" vertical="center" wrapText="1"/>
    </xf>
    <xf numFmtId="185" fontId="6" fillId="0" borderId="1" xfId="1" applyNumberFormat="1" applyFont="1" applyFill="1" applyBorder="1" applyAlignment="1">
      <alignment horizontal="right" vertical="center" wrapText="1"/>
    </xf>
    <xf numFmtId="4" fontId="6" fillId="0" borderId="3" xfId="0" applyNumberFormat="1" applyFont="1" applyBorder="1" applyAlignment="1">
      <alignment horizontal="right" vertical="center" wrapText="1"/>
    </xf>
    <xf numFmtId="4" fontId="6" fillId="0" borderId="1" xfId="1" applyNumberFormat="1" applyFont="1" applyFill="1" applyBorder="1" applyAlignment="1">
      <alignment horizontal="right" vertical="center" wrapText="1"/>
    </xf>
    <xf numFmtId="4" fontId="6" fillId="0" borderId="92" xfId="1" applyNumberFormat="1" applyFont="1" applyFill="1" applyBorder="1" applyAlignment="1">
      <alignment horizontal="right" vertical="center" wrapText="1"/>
    </xf>
    <xf numFmtId="3" fontId="26" fillId="0" borderId="40" xfId="1" applyNumberFormat="1" applyFont="1" applyFill="1" applyBorder="1" applyAlignment="1">
      <alignment horizontal="right" vertical="center" wrapText="1"/>
    </xf>
    <xf numFmtId="3" fontId="6" fillId="0" borderId="4" xfId="0" applyNumberFormat="1" applyFont="1" applyBorder="1" applyAlignment="1">
      <alignment horizontal="right" vertical="center" wrapText="1"/>
    </xf>
    <xf numFmtId="0" fontId="6" fillId="0" borderId="97" xfId="0" applyFont="1" applyBorder="1" applyAlignment="1">
      <alignment horizontal="right" vertical="center" wrapText="1"/>
    </xf>
    <xf numFmtId="0" fontId="10" fillId="0" borderId="0" xfId="0" applyFont="1" applyAlignment="1">
      <alignment horizontal="center" vertical="center" wrapText="1"/>
    </xf>
    <xf numFmtId="0" fontId="20" fillId="0" borderId="0" xfId="0" applyFont="1" applyAlignment="1">
      <alignment horizontal="center"/>
    </xf>
    <xf numFmtId="0" fontId="165" fillId="0" borderId="0" xfId="0" applyFont="1" applyAlignment="1">
      <alignment horizontal="center" vertical="center" wrapText="1"/>
    </xf>
    <xf numFmtId="0" fontId="73" fillId="11" borderId="4" xfId="0" applyFont="1" applyFill="1" applyBorder="1" applyAlignment="1">
      <alignment vertical="center" textRotation="90" wrapText="1"/>
    </xf>
    <xf numFmtId="0" fontId="73" fillId="11" borderId="89" xfId="0" applyFont="1" applyFill="1" applyBorder="1" applyAlignment="1">
      <alignment vertical="center" textRotation="90" wrapText="1"/>
    </xf>
    <xf numFmtId="0" fontId="73" fillId="11" borderId="19" xfId="0" applyFont="1" applyFill="1" applyBorder="1" applyAlignment="1">
      <alignment vertical="center" textRotation="90" wrapText="1"/>
    </xf>
    <xf numFmtId="0" fontId="74" fillId="0" borderId="5" xfId="0" applyFont="1" applyBorder="1" applyAlignment="1">
      <alignment horizontal="center" vertical="center" textRotation="90" wrapText="1"/>
    </xf>
    <xf numFmtId="0" fontId="74" fillId="0" borderId="28" xfId="0" applyFont="1" applyBorder="1" applyAlignment="1">
      <alignment horizontal="center" vertical="center" textRotation="90" wrapText="1"/>
    </xf>
    <xf numFmtId="0" fontId="74" fillId="0" borderId="1" xfId="0" applyFont="1" applyBorder="1" applyAlignment="1">
      <alignment horizontal="center" vertical="center" textRotation="90" wrapText="1"/>
    </xf>
    <xf numFmtId="0" fontId="75" fillId="5" borderId="1" xfId="0" applyFont="1" applyFill="1" applyBorder="1" applyAlignment="1">
      <alignment horizontal="left" vertical="center" wrapText="1"/>
    </xf>
    <xf numFmtId="0" fontId="79" fillId="5" borderId="1" xfId="0" applyFont="1" applyFill="1" applyBorder="1" applyAlignment="1">
      <alignment horizontal="left" vertical="center" wrapText="1"/>
    </xf>
    <xf numFmtId="0" fontId="75" fillId="0" borderId="1" xfId="0" applyFont="1" applyBorder="1" applyAlignment="1">
      <alignment horizontal="center" vertical="center" wrapText="1"/>
    </xf>
    <xf numFmtId="0" fontId="79" fillId="0" borderId="1" xfId="0" applyFont="1" applyBorder="1" applyAlignment="1">
      <alignment horizontal="center" vertical="center" wrapText="1"/>
    </xf>
    <xf numFmtId="0" fontId="75" fillId="0" borderId="1" xfId="0" applyFont="1" applyBorder="1" applyAlignment="1">
      <alignment horizontal="left" vertical="center" wrapText="1"/>
    </xf>
    <xf numFmtId="0" fontId="79" fillId="0" borderId="1" xfId="0" applyFont="1" applyBorder="1" applyAlignment="1">
      <alignment horizontal="left" vertical="center" wrapText="1"/>
    </xf>
    <xf numFmtId="0" fontId="79" fillId="0" borderId="1" xfId="0" applyFont="1" applyBorder="1" applyAlignment="1">
      <alignment horizontal="left" wrapText="1"/>
    </xf>
    <xf numFmtId="0" fontId="73" fillId="14" borderId="4" xfId="0" applyFont="1" applyFill="1" applyBorder="1" applyAlignment="1">
      <alignment horizontal="center" vertical="center" textRotation="90" wrapText="1"/>
    </xf>
    <xf numFmtId="0" fontId="73" fillId="14" borderId="19" xfId="0" applyFont="1" applyFill="1" applyBorder="1" applyAlignment="1">
      <alignment horizontal="center" vertical="center" textRotation="90" wrapText="1"/>
    </xf>
    <xf numFmtId="0" fontId="83" fillId="0" borderId="5" xfId="0" applyFont="1" applyBorder="1" applyAlignment="1">
      <alignment horizontal="center" vertical="center" textRotation="90" wrapText="1"/>
    </xf>
    <xf numFmtId="0" fontId="83" fillId="0" borderId="1" xfId="0" applyFont="1" applyBorder="1" applyAlignment="1">
      <alignment horizontal="center" vertical="center" textRotation="90" wrapText="1"/>
    </xf>
    <xf numFmtId="0" fontId="84" fillId="5" borderId="1" xfId="0" applyFont="1" applyFill="1" applyBorder="1" applyAlignment="1">
      <alignment vertical="center" wrapText="1" shrinkToFit="1"/>
    </xf>
    <xf numFmtId="0" fontId="84" fillId="5" borderId="172" xfId="0" applyFont="1" applyFill="1" applyBorder="1" applyAlignment="1">
      <alignment vertical="center" wrapText="1" shrinkToFit="1"/>
    </xf>
    <xf numFmtId="0" fontId="0" fillId="5" borderId="175" xfId="0" applyFill="1" applyBorder="1" applyAlignment="1">
      <alignment vertical="center" wrapText="1" shrinkToFit="1"/>
    </xf>
    <xf numFmtId="0" fontId="84" fillId="0" borderId="1" xfId="0" applyFont="1" applyBorder="1" applyAlignment="1">
      <alignment horizontal="center" vertical="center" wrapText="1" shrinkToFit="1"/>
    </xf>
    <xf numFmtId="0" fontId="0" fillId="0" borderId="1" xfId="0" applyBorder="1" applyAlignment="1">
      <alignment horizontal="center" vertical="center" wrapText="1" shrinkToFit="1"/>
    </xf>
    <xf numFmtId="0" fontId="91" fillId="5" borderId="172" xfId="0" applyFont="1" applyFill="1" applyBorder="1" applyAlignment="1">
      <alignment vertical="center" wrapText="1" shrinkToFit="1"/>
    </xf>
    <xf numFmtId="0" fontId="91" fillId="5" borderId="175" xfId="0" applyFont="1" applyFill="1" applyBorder="1" applyAlignment="1">
      <alignment vertical="center" wrapText="1" shrinkToFit="1"/>
    </xf>
    <xf numFmtId="0" fontId="91" fillId="0" borderId="1" xfId="0" applyFont="1" applyBorder="1" applyAlignment="1">
      <alignment horizontal="center" vertical="center" wrapText="1" shrinkToFit="1"/>
    </xf>
    <xf numFmtId="0" fontId="0" fillId="5" borderId="172" xfId="0" applyFill="1" applyBorder="1" applyAlignment="1">
      <alignment vertical="center" wrapText="1" shrinkToFit="1"/>
    </xf>
    <xf numFmtId="0" fontId="84" fillId="5" borderId="173" xfId="0" applyFont="1" applyFill="1" applyBorder="1" applyAlignment="1">
      <alignment vertical="center" wrapText="1" shrinkToFit="1"/>
    </xf>
    <xf numFmtId="0" fontId="84" fillId="5" borderId="29" xfId="0" applyFont="1" applyFill="1" applyBorder="1" applyAlignment="1">
      <alignment vertical="center" wrapText="1" shrinkToFit="1"/>
    </xf>
    <xf numFmtId="0" fontId="84" fillId="0" borderId="8" xfId="0" applyFont="1" applyBorder="1" applyAlignment="1">
      <alignment horizontal="center" vertical="center" wrapText="1" shrinkToFit="1"/>
    </xf>
    <xf numFmtId="0" fontId="84" fillId="0" borderId="29" xfId="0" applyFont="1" applyBorder="1" applyAlignment="1">
      <alignment horizontal="center" vertical="center" wrapText="1" shrinkToFit="1"/>
    </xf>
    <xf numFmtId="0" fontId="91" fillId="0" borderId="29" xfId="0" applyFont="1" applyBorder="1" applyAlignment="1">
      <alignment horizontal="center" vertical="center" wrapText="1" shrinkToFit="1"/>
    </xf>
    <xf numFmtId="0" fontId="84" fillId="5" borderId="170" xfId="0" applyFont="1" applyFill="1" applyBorder="1" applyAlignment="1">
      <alignment vertical="center" wrapText="1" shrinkToFit="1"/>
    </xf>
    <xf numFmtId="0" fontId="0" fillId="5" borderId="172" xfId="0" applyFill="1" applyBorder="1" applyAlignment="1">
      <alignment vertical="center" wrapText="1"/>
    </xf>
    <xf numFmtId="0" fontId="73" fillId="17" borderId="89" xfId="0" applyFont="1" applyFill="1" applyBorder="1" applyAlignment="1">
      <alignment horizontal="center" vertical="center" textRotation="90" wrapText="1"/>
    </xf>
    <xf numFmtId="0" fontId="73" fillId="17" borderId="19" xfId="0" applyFont="1" applyFill="1" applyBorder="1" applyAlignment="1">
      <alignment horizontal="center" vertical="center" textRotation="90" wrapText="1"/>
    </xf>
    <xf numFmtId="0" fontId="73" fillId="17" borderId="84" xfId="0" applyFont="1" applyFill="1" applyBorder="1" applyAlignment="1">
      <alignment horizontal="center" vertical="center" textRotation="90" wrapText="1"/>
    </xf>
    <xf numFmtId="0" fontId="94" fillId="0" borderId="28" xfId="0" applyFont="1" applyBorder="1" applyAlignment="1">
      <alignment horizontal="center" vertical="center" textRotation="90" wrapText="1"/>
    </xf>
    <xf numFmtId="0" fontId="98" fillId="0" borderId="1" xfId="0" applyFont="1" applyBorder="1" applyAlignment="1">
      <alignment horizontal="center" vertical="center" textRotation="90" wrapText="1"/>
    </xf>
    <xf numFmtId="0" fontId="98" fillId="0" borderId="34" xfId="0" applyFont="1" applyBorder="1" applyAlignment="1">
      <alignment horizontal="center" vertical="center" textRotation="90" wrapText="1"/>
    </xf>
    <xf numFmtId="0" fontId="95" fillId="5" borderId="172" xfId="0" applyFont="1" applyFill="1" applyBorder="1" applyAlignment="1">
      <alignment vertical="center" wrapText="1"/>
    </xf>
    <xf numFmtId="0" fontId="98" fillId="5" borderId="175" xfId="0" applyFont="1" applyFill="1" applyBorder="1" applyAlignment="1">
      <alignment vertical="center" wrapText="1"/>
    </xf>
    <xf numFmtId="0" fontId="95" fillId="0" borderId="1" xfId="0" applyFont="1" applyBorder="1" applyAlignment="1">
      <alignment horizontal="center" vertical="center" wrapText="1"/>
    </xf>
    <xf numFmtId="0" fontId="98" fillId="0" borderId="1" xfId="0" applyFont="1" applyBorder="1" applyAlignment="1">
      <alignment horizontal="center" vertical="center" wrapText="1"/>
    </xf>
    <xf numFmtId="0" fontId="95" fillId="3" borderId="1" xfId="0" applyFont="1" applyFill="1" applyBorder="1" applyAlignment="1">
      <alignment vertical="center" wrapText="1"/>
    </xf>
    <xf numFmtId="0" fontId="95" fillId="5" borderId="170" xfId="0" applyFont="1" applyFill="1" applyBorder="1" applyAlignment="1">
      <alignment vertical="center" wrapText="1"/>
    </xf>
    <xf numFmtId="0" fontId="98" fillId="5" borderId="172" xfId="0" applyFont="1" applyFill="1" applyBorder="1" applyAlignment="1">
      <alignment vertical="center" wrapText="1"/>
    </xf>
    <xf numFmtId="0" fontId="98" fillId="15" borderId="1" xfId="0" applyFont="1" applyFill="1" applyBorder="1" applyAlignment="1">
      <alignment vertical="center" wrapText="1"/>
    </xf>
    <xf numFmtId="0" fontId="44" fillId="56" borderId="95" xfId="0" applyFont="1" applyFill="1" applyBorder="1" applyAlignment="1">
      <alignment horizontal="left" vertical="center"/>
    </xf>
    <xf numFmtId="0" fontId="44" fillId="56" borderId="131" xfId="0" applyFont="1" applyFill="1" applyBorder="1" applyAlignment="1">
      <alignment horizontal="left" vertical="center"/>
    </xf>
    <xf numFmtId="0" fontId="44" fillId="56" borderId="130" xfId="0" applyFont="1" applyFill="1" applyBorder="1" applyAlignment="1">
      <alignment horizontal="left" vertical="center"/>
    </xf>
    <xf numFmtId="0" fontId="44" fillId="56" borderId="95" xfId="0" applyFont="1" applyFill="1" applyBorder="1" applyAlignment="1">
      <alignment vertical="center"/>
    </xf>
    <xf numFmtId="0" fontId="44" fillId="56" borderId="131" xfId="0" applyFont="1" applyFill="1" applyBorder="1" applyAlignment="1">
      <alignment vertical="center"/>
    </xf>
    <xf numFmtId="0" fontId="44" fillId="56" borderId="130" xfId="0" applyFont="1" applyFill="1" applyBorder="1" applyAlignment="1">
      <alignment vertical="center"/>
    </xf>
    <xf numFmtId="0" fontId="8" fillId="3" borderId="52" xfId="0" applyFont="1" applyFill="1" applyBorder="1" applyAlignment="1">
      <alignment horizontal="center" vertical="center" textRotation="90"/>
    </xf>
    <xf numFmtId="0" fontId="44" fillId="56" borderId="95" xfId="0" applyFont="1" applyFill="1" applyBorder="1" applyAlignment="1">
      <alignment vertical="center" wrapText="1"/>
    </xf>
    <xf numFmtId="0" fontId="44" fillId="56" borderId="131" xfId="0" applyFont="1" applyFill="1" applyBorder="1" applyAlignment="1">
      <alignment vertical="center" wrapText="1"/>
    </xf>
    <xf numFmtId="0" fontId="44" fillId="56" borderId="130" xfId="0" applyFont="1" applyFill="1" applyBorder="1" applyAlignment="1">
      <alignment vertical="center" wrapText="1"/>
    </xf>
    <xf numFmtId="0" fontId="6" fillId="56" borderId="1" xfId="0" applyFont="1" applyFill="1" applyBorder="1" applyAlignment="1">
      <alignment horizontal="left" vertical="center" wrapText="1"/>
    </xf>
    <xf numFmtId="0" fontId="6" fillId="56" borderId="1" xfId="0" applyFont="1" applyFill="1" applyBorder="1" applyAlignment="1">
      <alignment horizontal="left" vertical="center"/>
    </xf>
    <xf numFmtId="0" fontId="10" fillId="0" borderId="30" xfId="0" applyFont="1" applyBorder="1" applyAlignment="1">
      <alignment horizontal="center" wrapText="1"/>
    </xf>
    <xf numFmtId="0" fontId="10" fillId="0" borderId="29" xfId="0" applyFont="1" applyBorder="1" applyAlignment="1">
      <alignment horizontal="center" wrapText="1"/>
    </xf>
    <xf numFmtId="0" fontId="0" fillId="3" borderId="1" xfId="0" applyFill="1" applyBorder="1" applyAlignment="1">
      <alignment horizontal="center" vertical="center" wrapText="1"/>
    </xf>
    <xf numFmtId="0" fontId="48" fillId="3" borderId="12" xfId="0" applyFont="1" applyFill="1" applyBorder="1" applyAlignment="1">
      <alignment horizontal="center" vertical="center" textRotation="90"/>
    </xf>
    <xf numFmtId="0" fontId="48" fillId="3" borderId="2" xfId="0" applyFont="1" applyFill="1" applyBorder="1" applyAlignment="1">
      <alignment horizontal="center" vertical="center" textRotation="90"/>
    </xf>
    <xf numFmtId="0" fontId="48" fillId="3" borderId="9" xfId="0" applyFont="1" applyFill="1" applyBorder="1" applyAlignment="1">
      <alignment horizontal="center" vertical="center" textRotation="90"/>
    </xf>
    <xf numFmtId="0" fontId="10" fillId="0" borderId="12" xfId="0" applyFont="1" applyBorder="1" applyAlignment="1">
      <alignment horizontal="center" vertical="center" textRotation="90"/>
    </xf>
    <xf numFmtId="0" fontId="10" fillId="0" borderId="2" xfId="0" applyFont="1" applyBorder="1" applyAlignment="1">
      <alignment horizontal="center" vertical="center" textRotation="90"/>
    </xf>
    <xf numFmtId="0" fontId="10" fillId="0" borderId="9" xfId="0" applyFont="1" applyBorder="1" applyAlignment="1">
      <alignment horizontal="center" vertical="center" textRotation="90"/>
    </xf>
    <xf numFmtId="0" fontId="17" fillId="2" borderId="14" xfId="0" applyFont="1" applyFill="1" applyBorder="1" applyAlignment="1">
      <alignment horizontal="center" vertical="center"/>
    </xf>
    <xf numFmtId="0" fontId="0" fillId="0" borderId="15" xfId="0" applyBorder="1" applyAlignment="1">
      <alignment horizontal="center" vertical="center"/>
    </xf>
    <xf numFmtId="0" fontId="0" fillId="0" borderId="22" xfId="0" applyBorder="1" applyAlignment="1">
      <alignment horizontal="center" vertical="center"/>
    </xf>
    <xf numFmtId="0" fontId="7" fillId="66" borderId="14" xfId="0" applyFont="1" applyFill="1" applyBorder="1" applyAlignment="1">
      <alignment horizontal="center" vertical="center"/>
    </xf>
    <xf numFmtId="0" fontId="7" fillId="66" borderId="15" xfId="0" applyFont="1" applyFill="1" applyBorder="1" applyAlignment="1">
      <alignment horizontal="center" vertical="center"/>
    </xf>
    <xf numFmtId="0" fontId="7" fillId="66" borderId="22" xfId="0" applyFont="1" applyFill="1" applyBorder="1" applyAlignment="1">
      <alignment horizontal="center" vertical="center"/>
    </xf>
    <xf numFmtId="0" fontId="17" fillId="2" borderId="23" xfId="0" applyFont="1" applyFill="1" applyBorder="1" applyAlignment="1">
      <alignment horizontal="center"/>
    </xf>
    <xf numFmtId="0" fontId="0" fillId="0" borderId="18" xfId="0" applyBorder="1" applyAlignment="1">
      <alignment horizontal="center"/>
    </xf>
    <xf numFmtId="0" fontId="0" fillId="0" borderId="83" xfId="0" applyBorder="1" applyAlignment="1">
      <alignment horizontal="center"/>
    </xf>
    <xf numFmtId="0" fontId="17" fillId="2" borderId="14" xfId="0" applyFont="1" applyFill="1" applyBorder="1" applyAlignment="1">
      <alignment horizontal="center" wrapText="1"/>
    </xf>
    <xf numFmtId="0" fontId="0" fillId="0" borderId="15" xfId="0" applyBorder="1" applyAlignment="1">
      <alignment horizontal="center" wrapText="1"/>
    </xf>
    <xf numFmtId="0" fontId="0" fillId="0" borderId="22" xfId="0" applyBorder="1" applyAlignment="1">
      <alignment horizontal="center" wrapText="1"/>
    </xf>
    <xf numFmtId="0" fontId="17" fillId="2" borderId="23" xfId="0" applyFont="1" applyFill="1" applyBorder="1" applyAlignment="1">
      <alignment horizontal="center" vertical="center"/>
    </xf>
    <xf numFmtId="0" fontId="0" fillId="0" borderId="18" xfId="0" applyBorder="1" applyAlignment="1">
      <alignment horizontal="center" vertical="center"/>
    </xf>
    <xf numFmtId="0" fontId="0" fillId="0" borderId="83" xfId="0" applyBorder="1" applyAlignment="1">
      <alignment horizontal="center" vertical="center"/>
    </xf>
    <xf numFmtId="0" fontId="7" fillId="0" borderId="0" xfId="0" applyFont="1" applyAlignment="1">
      <alignment horizontal="left" vertical="center" wrapText="1"/>
    </xf>
    <xf numFmtId="0" fontId="6" fillId="0" borderId="52" xfId="0" applyFont="1" applyBorder="1" applyAlignment="1">
      <alignment horizontal="left" vertical="center" wrapText="1"/>
    </xf>
    <xf numFmtId="0" fontId="6" fillId="0" borderId="0" xfId="0" applyFont="1" applyAlignment="1">
      <alignment horizontal="left" vertical="center" wrapText="1"/>
    </xf>
    <xf numFmtId="0" fontId="41" fillId="0" borderId="0" xfId="0" applyFont="1" applyAlignment="1">
      <alignment horizontal="center" vertical="center" wrapText="1"/>
    </xf>
    <xf numFmtId="0" fontId="10" fillId="2" borderId="8" xfId="0" applyFont="1" applyFill="1" applyBorder="1" applyAlignment="1">
      <alignment horizontal="center" vertical="center" wrapText="1"/>
    </xf>
    <xf numFmtId="0" fontId="10" fillId="2" borderId="28" xfId="0" applyFont="1" applyFill="1" applyBorder="1" applyAlignment="1">
      <alignment horizontal="center" vertical="center" wrapText="1"/>
    </xf>
    <xf numFmtId="0" fontId="10" fillId="2" borderId="9" xfId="0" applyFont="1" applyFill="1" applyBorder="1" applyAlignment="1">
      <alignment horizontal="center" vertical="center" textRotation="90" wrapText="1"/>
    </xf>
    <xf numFmtId="0" fontId="10" fillId="2" borderId="52" xfId="0" applyFont="1" applyFill="1" applyBorder="1" applyAlignment="1">
      <alignment horizontal="center" vertical="center" textRotation="90" wrapText="1"/>
    </xf>
    <xf numFmtId="0" fontId="10" fillId="2" borderId="12" xfId="0" applyFont="1" applyFill="1" applyBorder="1" applyAlignment="1">
      <alignment horizontal="center" vertical="center" textRotation="90" wrapText="1"/>
    </xf>
    <xf numFmtId="0" fontId="17" fillId="2" borderId="18" xfId="0" applyFont="1" applyFill="1" applyBorder="1" applyAlignment="1">
      <alignment horizontal="center" vertical="center"/>
    </xf>
    <xf numFmtId="0" fontId="0" fillId="0" borderId="3" xfId="0" applyBorder="1" applyAlignment="1">
      <alignment horizontal="center" vertical="center"/>
    </xf>
    <xf numFmtId="0" fontId="17" fillId="2" borderId="23" xfId="0" applyFont="1" applyFill="1" applyBorder="1" applyAlignment="1">
      <alignment horizontal="center" wrapText="1"/>
    </xf>
    <xf numFmtId="0" fontId="0" fillId="0" borderId="18" xfId="0" applyBorder="1" applyAlignment="1">
      <alignment horizontal="center" wrapText="1"/>
    </xf>
    <xf numFmtId="0" fontId="0" fillId="0" borderId="3" xfId="0" applyBorder="1" applyAlignment="1">
      <alignment horizontal="center" wrapText="1"/>
    </xf>
    <xf numFmtId="0" fontId="17" fillId="2" borderId="162" xfId="0" applyFont="1" applyFill="1" applyBorder="1" applyAlignment="1">
      <alignment horizontal="center" wrapText="1"/>
    </xf>
    <xf numFmtId="0" fontId="0" fillId="0" borderId="13" xfId="0" applyBorder="1" applyAlignment="1">
      <alignment horizontal="center" wrapText="1"/>
    </xf>
    <xf numFmtId="0" fontId="0" fillId="0" borderId="90" xfId="0" applyBorder="1" applyAlignment="1">
      <alignment horizontal="center" wrapText="1"/>
    </xf>
    <xf numFmtId="0" fontId="17" fillId="2" borderId="162" xfId="0" applyFont="1" applyFill="1" applyBorder="1" applyAlignment="1">
      <alignment horizontal="center" vertical="center"/>
    </xf>
    <xf numFmtId="0" fontId="0" fillId="0" borderId="13" xfId="0" applyBorder="1" applyAlignment="1">
      <alignment horizontal="center" vertical="center"/>
    </xf>
    <xf numFmtId="0" fontId="0" fillId="0" borderId="90" xfId="0" applyBorder="1" applyAlignment="1">
      <alignment horizontal="center" vertical="center"/>
    </xf>
    <xf numFmtId="0" fontId="0" fillId="0" borderId="33" xfId="0" applyBorder="1" applyAlignment="1">
      <alignment horizontal="center" vertical="center"/>
    </xf>
    <xf numFmtId="0" fontId="17" fillId="2" borderId="18" xfId="0" applyFont="1" applyFill="1" applyBorder="1" applyAlignment="1">
      <alignment horizontal="center"/>
    </xf>
    <xf numFmtId="0" fontId="0" fillId="0" borderId="127" xfId="0" applyBorder="1" applyAlignment="1">
      <alignment horizontal="center" vertical="center"/>
    </xf>
    <xf numFmtId="0" fontId="6" fillId="0" borderId="14" xfId="0" applyFont="1" applyBorder="1" applyAlignment="1">
      <alignment horizontal="center" vertical="center"/>
    </xf>
    <xf numFmtId="0" fontId="0" fillId="0" borderId="7" xfId="0" applyBorder="1" applyAlignment="1">
      <alignment horizontal="center" vertical="center"/>
    </xf>
    <xf numFmtId="0" fontId="17" fillId="2" borderId="23" xfId="0" applyFont="1" applyFill="1" applyBorder="1" applyAlignment="1">
      <alignment horizontal="center" vertical="center" wrapText="1"/>
    </xf>
    <xf numFmtId="0" fontId="0" fillId="0" borderId="18" xfId="0" applyBorder="1" applyAlignment="1">
      <alignment horizontal="center" vertical="center" wrapText="1"/>
    </xf>
    <xf numFmtId="0" fontId="0" fillId="0" borderId="3" xfId="0" applyBorder="1" applyAlignment="1">
      <alignment horizontal="center" vertical="center" wrapText="1"/>
    </xf>
    <xf numFmtId="0" fontId="17" fillId="2" borderId="14" xfId="0" applyFont="1" applyFill="1" applyBorder="1" applyAlignment="1">
      <alignment horizontal="center" vertical="center" wrapText="1"/>
    </xf>
    <xf numFmtId="0" fontId="0" fillId="0" borderId="15" xfId="0" applyBorder="1" applyAlignment="1">
      <alignment horizontal="center" vertical="center" wrapText="1"/>
    </xf>
    <xf numFmtId="0" fontId="0" fillId="0" borderId="22" xfId="0" applyBorder="1" applyAlignment="1">
      <alignment horizontal="center" vertical="center" wrapText="1"/>
    </xf>
    <xf numFmtId="0" fontId="10" fillId="0" borderId="42" xfId="0" applyFont="1" applyBorder="1" applyAlignment="1">
      <alignment horizontal="center" vertical="center" textRotation="90"/>
    </xf>
    <xf numFmtId="0" fontId="10" fillId="0" borderId="92" xfId="0" applyFont="1" applyBorder="1" applyAlignment="1">
      <alignment horizontal="center" vertical="center" textRotation="90"/>
    </xf>
    <xf numFmtId="0" fontId="10" fillId="0" borderId="94" xfId="0" applyFont="1" applyBorder="1" applyAlignment="1">
      <alignment horizontal="center" vertical="center" textRotation="90"/>
    </xf>
    <xf numFmtId="172" fontId="10" fillId="4" borderId="129" xfId="0" applyNumberFormat="1" applyFont="1" applyFill="1" applyBorder="1" applyAlignment="1">
      <alignment horizontal="center" vertical="center"/>
    </xf>
    <xf numFmtId="172" fontId="0" fillId="4" borderId="129" xfId="0" applyNumberFormat="1" applyFill="1" applyBorder="1" applyAlignment="1">
      <alignment horizontal="center" vertical="center"/>
    </xf>
    <xf numFmtId="0" fontId="37" fillId="56" borderId="22" xfId="0" applyFont="1" applyFill="1" applyBorder="1" applyAlignment="1">
      <alignment horizontal="left" vertical="center" wrapText="1"/>
    </xf>
    <xf numFmtId="0" fontId="36" fillId="56" borderId="83" xfId="0" applyFont="1" applyFill="1" applyBorder="1" applyAlignment="1">
      <alignment horizontal="left" vertical="center" wrapText="1"/>
    </xf>
    <xf numFmtId="0" fontId="36" fillId="56" borderId="86" xfId="0" applyFont="1" applyFill="1" applyBorder="1" applyAlignment="1">
      <alignment horizontal="left" vertical="center" wrapText="1"/>
    </xf>
    <xf numFmtId="0" fontId="37" fillId="56" borderId="90" xfId="0" applyFont="1" applyFill="1" applyBorder="1" applyAlignment="1">
      <alignment horizontal="left" vertical="center" wrapText="1"/>
    </xf>
    <xf numFmtId="0" fontId="36" fillId="56" borderId="88" xfId="0" applyFont="1" applyFill="1" applyBorder="1" applyAlignment="1">
      <alignment horizontal="left" vertical="center" wrapText="1"/>
    </xf>
    <xf numFmtId="3" fontId="10" fillId="0" borderId="18" xfId="0" applyNumberFormat="1" applyFont="1" applyBorder="1" applyAlignment="1">
      <alignment horizontal="center" vertical="center"/>
    </xf>
    <xf numFmtId="3" fontId="0" fillId="0" borderId="18" xfId="0" applyNumberFormat="1" applyBorder="1" applyAlignment="1">
      <alignment horizontal="center" vertical="center"/>
    </xf>
    <xf numFmtId="172" fontId="10" fillId="0" borderId="10" xfId="3" applyNumberFormat="1" applyFont="1" applyFill="1" applyBorder="1" applyAlignment="1">
      <alignment horizontal="center" vertical="center"/>
    </xf>
    <xf numFmtId="172" fontId="0" fillId="0" borderId="10" xfId="0" applyNumberFormat="1" applyBorder="1" applyAlignment="1">
      <alignment horizontal="center" vertical="center"/>
    </xf>
    <xf numFmtId="3" fontId="10" fillId="0" borderId="15" xfId="0" applyNumberFormat="1" applyFont="1" applyBorder="1" applyAlignment="1">
      <alignment horizontal="center" vertical="center"/>
    </xf>
    <xf numFmtId="3" fontId="0" fillId="0" borderId="15" xfId="0" applyNumberFormat="1" applyBorder="1" applyAlignment="1">
      <alignment horizontal="center" vertical="center"/>
    </xf>
    <xf numFmtId="172" fontId="10" fillId="0" borderId="129" xfId="3" applyNumberFormat="1" applyFont="1" applyFill="1" applyBorder="1" applyAlignment="1">
      <alignment horizontal="center" vertical="center"/>
    </xf>
    <xf numFmtId="172" fontId="0" fillId="0" borderId="129" xfId="0" applyNumberFormat="1" applyBorder="1" applyAlignment="1">
      <alignment horizontal="center" vertical="center"/>
    </xf>
    <xf numFmtId="0" fontId="61" fillId="55" borderId="21" xfId="0" applyFont="1" applyFill="1" applyBorder="1" applyAlignment="1">
      <alignment vertical="center" wrapText="1"/>
    </xf>
    <xf numFmtId="0" fontId="8" fillId="3" borderId="43" xfId="0" applyFont="1" applyFill="1" applyBorder="1" applyAlignment="1">
      <alignment wrapText="1"/>
    </xf>
    <xf numFmtId="0" fontId="8" fillId="2" borderId="20" xfId="0" applyFont="1" applyFill="1" applyBorder="1" applyAlignment="1">
      <alignment horizontal="center" wrapText="1"/>
    </xf>
    <xf numFmtId="0" fontId="0" fillId="0" borderId="38" xfId="0" applyBorder="1" applyAlignment="1">
      <alignment horizontal="center" wrapText="1"/>
    </xf>
    <xf numFmtId="0" fontId="10" fillId="0" borderId="164" xfId="0" applyFont="1" applyBorder="1" applyAlignment="1">
      <alignment horizontal="left" vertical="top" wrapText="1"/>
    </xf>
    <xf numFmtId="0" fontId="0" fillId="0" borderId="125" xfId="0" applyBorder="1" applyAlignment="1">
      <alignment horizontal="left" vertical="top" wrapText="1"/>
    </xf>
    <xf numFmtId="0" fontId="8" fillId="2" borderId="31" xfId="0" applyFont="1" applyFill="1" applyBorder="1" applyAlignment="1">
      <alignment horizontal="center" wrapText="1"/>
    </xf>
    <xf numFmtId="0" fontId="0" fillId="0" borderId="31" xfId="0" applyBorder="1" applyAlignment="1">
      <alignment horizontal="center" wrapText="1"/>
    </xf>
    <xf numFmtId="3" fontId="10" fillId="0" borderId="13" xfId="0" applyNumberFormat="1" applyFont="1" applyBorder="1" applyAlignment="1">
      <alignment horizontal="center" vertical="center"/>
    </xf>
    <xf numFmtId="3" fontId="0" fillId="0" borderId="13" xfId="0" applyNumberFormat="1" applyBorder="1" applyAlignment="1">
      <alignment horizontal="center" vertical="center"/>
    </xf>
    <xf numFmtId="3" fontId="10" fillId="4" borderId="13" xfId="0" applyNumberFormat="1" applyFont="1" applyFill="1" applyBorder="1" applyAlignment="1">
      <alignment horizontal="center" vertical="center"/>
    </xf>
    <xf numFmtId="3" fontId="0" fillId="4" borderId="13" xfId="0" applyNumberFormat="1" applyFill="1" applyBorder="1" applyAlignment="1">
      <alignment horizontal="center" vertical="center"/>
    </xf>
    <xf numFmtId="3" fontId="10" fillId="4" borderId="18" xfId="0" applyNumberFormat="1" applyFont="1" applyFill="1" applyBorder="1" applyAlignment="1">
      <alignment horizontal="center" vertical="center"/>
    </xf>
    <xf numFmtId="3" fontId="0" fillId="4" borderId="18" xfId="0" applyNumberFormat="1" applyFill="1" applyBorder="1" applyAlignment="1">
      <alignment horizontal="center" vertical="center"/>
    </xf>
    <xf numFmtId="172" fontId="10" fillId="4" borderId="18" xfId="0" applyNumberFormat="1" applyFont="1" applyFill="1" applyBorder="1" applyAlignment="1">
      <alignment horizontal="center" vertical="center"/>
    </xf>
    <xf numFmtId="172" fontId="0" fillId="4" borderId="18" xfId="0" applyNumberFormat="1" applyFill="1" applyBorder="1" applyAlignment="1">
      <alignment horizontal="center" vertical="center"/>
    </xf>
    <xf numFmtId="0" fontId="6" fillId="55" borderId="91" xfId="0" applyFont="1" applyFill="1" applyBorder="1" applyAlignment="1">
      <alignment horizontal="center"/>
    </xf>
    <xf numFmtId="0" fontId="6" fillId="55" borderId="33" xfId="0" applyFont="1" applyFill="1" applyBorder="1" applyAlignment="1">
      <alignment horizontal="center"/>
    </xf>
    <xf numFmtId="0" fontId="6" fillId="55" borderId="41" xfId="0" applyFont="1" applyFill="1" applyBorder="1" applyAlignment="1">
      <alignment horizontal="center"/>
    </xf>
    <xf numFmtId="0" fontId="6" fillId="55" borderId="127" xfId="0" applyFont="1" applyFill="1" applyBorder="1" applyAlignment="1">
      <alignment horizontal="center"/>
    </xf>
    <xf numFmtId="0" fontId="6" fillId="55" borderId="23" xfId="0" applyFont="1" applyFill="1" applyBorder="1" applyAlignment="1">
      <alignment horizontal="left" vertical="center" wrapText="1"/>
    </xf>
    <xf numFmtId="0" fontId="6" fillId="55" borderId="83" xfId="0" applyFont="1" applyFill="1" applyBorder="1" applyAlignment="1">
      <alignment horizontal="left" vertical="center" wrapText="1"/>
    </xf>
    <xf numFmtId="0" fontId="6" fillId="55" borderId="21" xfId="0" applyFont="1" applyFill="1" applyBorder="1" applyAlignment="1">
      <alignment horizontal="left" vertical="center" wrapText="1"/>
    </xf>
    <xf numFmtId="0" fontId="6" fillId="55" borderId="128" xfId="0" applyFont="1" applyFill="1" applyBorder="1" applyAlignment="1">
      <alignment horizontal="left" vertical="center" wrapText="1"/>
    </xf>
    <xf numFmtId="0" fontId="6" fillId="55" borderId="31" xfId="0" applyFont="1" applyFill="1" applyBorder="1" applyAlignment="1">
      <alignment horizontal="center"/>
    </xf>
    <xf numFmtId="0" fontId="6" fillId="2" borderId="1" xfId="0" applyFont="1" applyFill="1" applyBorder="1" applyAlignment="1">
      <alignment horizontal="center" vertical="center" textRotation="90" wrapText="1"/>
    </xf>
    <xf numFmtId="0" fontId="6" fillId="56" borderId="50" xfId="0" applyFont="1" applyFill="1" applyBorder="1" applyAlignment="1">
      <alignment horizontal="center" vertical="center"/>
    </xf>
    <xf numFmtId="0" fontId="6" fillId="56" borderId="49" xfId="0" applyFont="1" applyFill="1" applyBorder="1" applyAlignment="1">
      <alignment horizontal="center" vertical="center"/>
    </xf>
    <xf numFmtId="0" fontId="6" fillId="56" borderId="325" xfId="0" applyFont="1" applyFill="1" applyBorder="1" applyAlignment="1">
      <alignment horizontal="center" vertical="center"/>
    </xf>
    <xf numFmtId="0" fontId="6" fillId="56" borderId="50" xfId="0" applyFont="1" applyFill="1" applyBorder="1" applyAlignment="1">
      <alignment vertical="center" wrapText="1"/>
    </xf>
    <xf numFmtId="0" fontId="6" fillId="56" borderId="49" xfId="0" applyFont="1" applyFill="1" applyBorder="1" applyAlignment="1">
      <alignment vertical="center" wrapText="1"/>
    </xf>
    <xf numFmtId="0" fontId="6" fillId="56" borderId="325" xfId="0" applyFont="1" applyFill="1" applyBorder="1" applyAlignment="1">
      <alignment vertical="center" wrapText="1"/>
    </xf>
    <xf numFmtId="0" fontId="6" fillId="56" borderId="324" xfId="0" applyFont="1" applyFill="1" applyBorder="1" applyAlignment="1">
      <alignment horizontal="center" vertical="center"/>
    </xf>
    <xf numFmtId="0" fontId="6" fillId="56" borderId="334" xfId="0" applyFont="1" applyFill="1" applyBorder="1" applyAlignment="1">
      <alignment horizontal="center" vertical="center"/>
    </xf>
    <xf numFmtId="0" fontId="6" fillId="56" borderId="324" xfId="0" applyFont="1" applyFill="1" applyBorder="1" applyAlignment="1">
      <alignment vertical="center" wrapText="1"/>
    </xf>
    <xf numFmtId="0" fontId="6" fillId="56" borderId="334" xfId="0" applyFont="1" applyFill="1" applyBorder="1" applyAlignment="1">
      <alignment vertical="center" wrapText="1"/>
    </xf>
    <xf numFmtId="0" fontId="6" fillId="56" borderId="333" xfId="0" applyFont="1" applyFill="1" applyBorder="1" applyAlignment="1">
      <alignment horizontal="center" vertical="center"/>
    </xf>
    <xf numFmtId="0" fontId="6" fillId="56" borderId="333" xfId="0" applyFont="1" applyFill="1" applyBorder="1" applyAlignment="1">
      <alignment vertical="center" wrapText="1"/>
    </xf>
    <xf numFmtId="0" fontId="6" fillId="56" borderId="324" xfId="0" applyFont="1" applyFill="1" applyBorder="1" applyAlignment="1">
      <alignment horizontal="center" vertical="center" wrapText="1"/>
    </xf>
    <xf numFmtId="0" fontId="6" fillId="56" borderId="49" xfId="0" applyFont="1" applyFill="1" applyBorder="1" applyAlignment="1">
      <alignment wrapText="1"/>
    </xf>
    <xf numFmtId="0" fontId="6" fillId="56" borderId="46" xfId="0" applyFont="1" applyFill="1" applyBorder="1" applyAlignment="1">
      <alignment wrapText="1"/>
    </xf>
    <xf numFmtId="0" fontId="18" fillId="56" borderId="95" xfId="0" applyFont="1" applyFill="1" applyBorder="1" applyAlignment="1">
      <alignment horizontal="center" vertical="center" wrapText="1"/>
    </xf>
    <xf numFmtId="0" fontId="18" fillId="56" borderId="130" xfId="0" applyFont="1" applyFill="1" applyBorder="1" applyAlignment="1">
      <alignment horizontal="center" vertical="center" wrapText="1"/>
    </xf>
    <xf numFmtId="0" fontId="11" fillId="0" borderId="19" xfId="0" applyFont="1" applyBorder="1" applyAlignment="1">
      <alignment horizontal="center" wrapText="1"/>
    </xf>
    <xf numFmtId="0" fontId="6" fillId="0" borderId="84" xfId="0" applyFont="1" applyBorder="1" applyAlignment="1">
      <alignment horizontal="center" wrapText="1"/>
    </xf>
    <xf numFmtId="0" fontId="50" fillId="56" borderId="132" xfId="0" applyFont="1" applyFill="1" applyBorder="1" applyAlignment="1">
      <alignment horizontal="center" vertical="center" wrapText="1"/>
    </xf>
    <xf numFmtId="0" fontId="11" fillId="56" borderId="132" xfId="0" applyFont="1" applyFill="1" applyBorder="1" applyAlignment="1">
      <alignment wrapText="1"/>
    </xf>
    <xf numFmtId="3" fontId="6" fillId="0" borderId="102" xfId="0" applyNumberFormat="1" applyFont="1" applyBorder="1" applyAlignment="1">
      <alignment horizontal="center" vertical="center" wrapText="1"/>
    </xf>
    <xf numFmtId="0" fontId="6" fillId="0" borderId="38" xfId="0" applyFont="1" applyBorder="1" applyAlignment="1">
      <alignment horizontal="center"/>
    </xf>
    <xf numFmtId="0" fontId="11" fillId="0" borderId="4" xfId="0" applyFont="1" applyBorder="1" applyAlignment="1">
      <alignment horizontal="center" wrapText="1"/>
    </xf>
    <xf numFmtId="0" fontId="50" fillId="56" borderId="161" xfId="0" applyFont="1" applyFill="1" applyBorder="1" applyAlignment="1">
      <alignment horizontal="center" vertical="center"/>
    </xf>
    <xf numFmtId="3" fontId="6" fillId="0" borderId="100" xfId="0" applyNumberFormat="1" applyFont="1" applyBorder="1" applyAlignment="1">
      <alignment horizontal="center" vertical="center" wrapText="1"/>
    </xf>
    <xf numFmtId="3" fontId="6" fillId="0" borderId="169" xfId="0" applyNumberFormat="1" applyFont="1" applyBorder="1" applyAlignment="1">
      <alignment horizontal="center" vertical="center" wrapText="1"/>
    </xf>
    <xf numFmtId="3" fontId="26" fillId="0" borderId="379" xfId="0" applyNumberFormat="1" applyFont="1" applyBorder="1" applyAlignment="1">
      <alignment horizontal="center" vertical="center" wrapText="1"/>
    </xf>
    <xf numFmtId="3" fontId="144" fillId="3" borderId="84" xfId="1" applyNumberFormat="1" applyFont="1" applyFill="1" applyBorder="1" applyAlignment="1">
      <alignment horizontal="center"/>
    </xf>
    <xf numFmtId="3" fontId="144" fillId="3" borderId="11" xfId="1" applyNumberFormat="1" applyFont="1" applyFill="1" applyBorder="1" applyAlignment="1">
      <alignment horizontal="center"/>
    </xf>
    <xf numFmtId="3" fontId="26" fillId="0" borderId="1" xfId="0" applyNumberFormat="1" applyFont="1" applyBorder="1" applyAlignment="1">
      <alignment horizontal="center" vertical="center" wrapText="1"/>
    </xf>
    <xf numFmtId="3" fontId="6" fillId="4" borderId="8" xfId="1" applyNumberFormat="1" applyFont="1" applyFill="1" applyBorder="1" applyAlignment="1">
      <alignment horizontal="center"/>
    </xf>
    <xf numFmtId="0" fontId="11" fillId="0" borderId="6" xfId="0" applyFont="1" applyBorder="1" applyAlignment="1">
      <alignment horizontal="center" wrapText="1"/>
    </xf>
    <xf numFmtId="0" fontId="11" fillId="0" borderId="11" xfId="0" applyFont="1" applyBorder="1" applyAlignment="1">
      <alignment horizontal="center" wrapText="1"/>
    </xf>
    <xf numFmtId="0" fontId="6" fillId="0" borderId="104" xfId="0" applyFont="1" applyBorder="1" applyAlignment="1">
      <alignment horizontal="center"/>
    </xf>
    <xf numFmtId="0" fontId="6" fillId="0" borderId="3" xfId="0" applyFont="1" applyBorder="1" applyAlignment="1">
      <alignment horizontal="center" wrapText="1"/>
    </xf>
    <xf numFmtId="0" fontId="18" fillId="2" borderId="33" xfId="0" applyFont="1" applyFill="1" applyBorder="1" applyAlignment="1">
      <alignment horizontal="center" vertical="center" wrapText="1"/>
    </xf>
    <xf numFmtId="0" fontId="6" fillId="0" borderId="131" xfId="0" applyFont="1" applyBorder="1" applyAlignment="1">
      <alignment wrapText="1"/>
    </xf>
    <xf numFmtId="0" fontId="6" fillId="0" borderId="91" xfId="0" applyFont="1" applyBorder="1" applyAlignment="1">
      <alignment wrapText="1"/>
    </xf>
    <xf numFmtId="0" fontId="18" fillId="2" borderId="95" xfId="0" applyFont="1" applyFill="1" applyBorder="1" applyAlignment="1">
      <alignment horizontal="center" vertical="center" wrapText="1"/>
    </xf>
    <xf numFmtId="0" fontId="6" fillId="0" borderId="95" xfId="0" applyFont="1" applyBorder="1" applyAlignment="1">
      <alignment wrapText="1"/>
    </xf>
    <xf numFmtId="0" fontId="6" fillId="0" borderId="216" xfId="0" applyFont="1" applyBorder="1" applyAlignment="1">
      <alignment wrapText="1"/>
    </xf>
    <xf numFmtId="0" fontId="7" fillId="2" borderId="127" xfId="0" applyFont="1" applyFill="1" applyBorder="1" applyAlignment="1">
      <alignment horizontal="center" vertical="center" textRotation="90"/>
    </xf>
    <xf numFmtId="3" fontId="6" fillId="0" borderId="3" xfId="0" applyNumberFormat="1" applyFont="1" applyBorder="1" applyAlignment="1">
      <alignment horizontal="center" vertical="center" wrapText="1"/>
    </xf>
    <xf numFmtId="3" fontId="26" fillId="0" borderId="3" xfId="0" applyNumberFormat="1" applyFont="1" applyBorder="1" applyAlignment="1">
      <alignment horizontal="center" vertical="center" wrapText="1"/>
    </xf>
    <xf numFmtId="3" fontId="6" fillId="4" borderId="3" xfId="1" applyNumberFormat="1" applyFont="1" applyFill="1" applyBorder="1" applyAlignment="1">
      <alignment horizontal="center"/>
    </xf>
    <xf numFmtId="0" fontId="11" fillId="0" borderId="3" xfId="0" applyFont="1" applyBorder="1" applyAlignment="1">
      <alignment horizontal="center" wrapText="1"/>
    </xf>
    <xf numFmtId="0" fontId="6" fillId="0" borderId="3" xfId="0" applyFont="1" applyBorder="1" applyAlignment="1">
      <alignment horizontal="center"/>
    </xf>
    <xf numFmtId="3" fontId="6" fillId="0" borderId="1" xfId="0" applyNumberFormat="1" applyFont="1" applyBorder="1" applyAlignment="1">
      <alignment horizontal="center" vertical="center" wrapText="1"/>
    </xf>
    <xf numFmtId="3" fontId="6" fillId="0" borderId="6" xfId="0" applyNumberFormat="1" applyFont="1" applyBorder="1" applyAlignment="1">
      <alignment horizontal="center" vertical="center" wrapText="1"/>
    </xf>
    <xf numFmtId="0" fontId="18" fillId="2" borderId="161" xfId="0" applyFont="1" applyFill="1" applyBorder="1" applyAlignment="1">
      <alignment horizontal="center" vertical="center"/>
    </xf>
    <xf numFmtId="0" fontId="6" fillId="0" borderId="43" xfId="0" applyFont="1" applyBorder="1" applyAlignment="1">
      <alignment horizontal="center"/>
    </xf>
    <xf numFmtId="3" fontId="6" fillId="4" borderId="87" xfId="1" applyNumberFormat="1" applyFont="1" applyFill="1" applyBorder="1" applyAlignment="1">
      <alignment horizontal="center"/>
    </xf>
    <xf numFmtId="3" fontId="6" fillId="0" borderId="91" xfId="0" applyNumberFormat="1" applyFont="1" applyBorder="1" applyAlignment="1">
      <alignment horizontal="center" vertical="center" wrapText="1"/>
    </xf>
    <xf numFmtId="3" fontId="6" fillId="0" borderId="31" xfId="0" applyNumberFormat="1" applyFont="1" applyBorder="1" applyAlignment="1">
      <alignment horizontal="center" vertical="center" wrapText="1"/>
    </xf>
    <xf numFmtId="3" fontId="6" fillId="0" borderId="33" xfId="0" applyNumberFormat="1" applyFont="1" applyBorder="1" applyAlignment="1">
      <alignment horizontal="center" vertical="center" wrapText="1"/>
    </xf>
    <xf numFmtId="3" fontId="6" fillId="0" borderId="210" xfId="0" applyNumberFormat="1" applyFont="1" applyBorder="1" applyAlignment="1">
      <alignment horizontal="center" vertical="center" wrapText="1"/>
    </xf>
    <xf numFmtId="3" fontId="6" fillId="0" borderId="340" xfId="0" applyNumberFormat="1" applyFont="1" applyBorder="1" applyAlignment="1">
      <alignment horizontal="center" vertical="center" wrapText="1"/>
    </xf>
    <xf numFmtId="3" fontId="6" fillId="0" borderId="207" xfId="0" applyNumberFormat="1" applyFont="1" applyBorder="1" applyAlignment="1">
      <alignment horizontal="center" vertical="center" wrapText="1"/>
    </xf>
    <xf numFmtId="3" fontId="26" fillId="0" borderId="376" xfId="0" applyNumberFormat="1" applyFont="1" applyBorder="1" applyAlignment="1">
      <alignment horizontal="center" vertical="center" wrapText="1"/>
    </xf>
    <xf numFmtId="3" fontId="26" fillId="0" borderId="377" xfId="0" applyNumberFormat="1" applyFont="1" applyBorder="1" applyAlignment="1">
      <alignment horizontal="center" vertical="center" wrapText="1"/>
    </xf>
    <xf numFmtId="3" fontId="26" fillId="0" borderId="378" xfId="0" applyNumberFormat="1" applyFont="1" applyBorder="1" applyAlignment="1">
      <alignment horizontal="center" vertical="center" wrapText="1"/>
    </xf>
    <xf numFmtId="0" fontId="50" fillId="56" borderId="93" xfId="0" applyFont="1" applyFill="1" applyBorder="1" applyAlignment="1">
      <alignment horizontal="center" vertical="center"/>
    </xf>
    <xf numFmtId="3" fontId="6" fillId="0" borderId="41" xfId="0" applyNumberFormat="1" applyFont="1" applyBorder="1" applyAlignment="1">
      <alignment horizontal="center" vertical="center" wrapText="1"/>
    </xf>
    <xf numFmtId="3" fontId="6" fillId="0" borderId="0" xfId="0" applyNumberFormat="1" applyFont="1" applyAlignment="1">
      <alignment horizontal="center" vertical="center" wrapText="1"/>
    </xf>
    <xf numFmtId="3" fontId="6" fillId="0" borderId="127" xfId="0" applyNumberFormat="1" applyFont="1" applyBorder="1" applyAlignment="1">
      <alignment horizontal="center" vertical="center" wrapText="1"/>
    </xf>
    <xf numFmtId="0" fontId="135" fillId="0" borderId="0" xfId="0" applyFont="1" applyAlignment="1">
      <alignment horizontal="left" vertical="center" wrapText="1"/>
    </xf>
    <xf numFmtId="0" fontId="18" fillId="2" borderId="164" xfId="0" applyFont="1" applyFill="1" applyBorder="1" applyAlignment="1">
      <alignment horizontal="center" vertical="center"/>
    </xf>
    <xf numFmtId="3" fontId="6" fillId="0" borderId="28" xfId="0" applyNumberFormat="1" applyFont="1" applyBorder="1" applyAlignment="1">
      <alignment horizontal="center" vertical="center" wrapText="1"/>
    </xf>
    <xf numFmtId="0" fontId="18" fillId="2" borderId="3" xfId="0" applyFont="1" applyFill="1" applyBorder="1" applyAlignment="1">
      <alignment horizontal="center" vertical="center"/>
    </xf>
    <xf numFmtId="0" fontId="49" fillId="60" borderId="20" xfId="0" applyFont="1" applyFill="1" applyBorder="1" applyAlignment="1">
      <alignment horizontal="center" vertical="center"/>
    </xf>
    <xf numFmtId="0" fontId="49" fillId="60" borderId="38" xfId="0" applyFont="1" applyFill="1" applyBorder="1" applyAlignment="1">
      <alignment horizontal="center" vertical="center"/>
    </xf>
    <xf numFmtId="0" fontId="49" fillId="60" borderId="222" xfId="0" applyFont="1" applyFill="1" applyBorder="1" applyAlignment="1">
      <alignment horizontal="center" vertical="center"/>
    </xf>
    <xf numFmtId="0" fontId="154" fillId="60" borderId="20" xfId="0" applyFont="1" applyFill="1" applyBorder="1" applyAlignment="1">
      <alignment horizontal="center" vertical="center"/>
    </xf>
    <xf numFmtId="0" fontId="154" fillId="60" borderId="38" xfId="0" applyFont="1" applyFill="1" applyBorder="1" applyAlignment="1">
      <alignment horizontal="center" vertical="center"/>
    </xf>
    <xf numFmtId="0" fontId="154" fillId="60" borderId="39" xfId="0" applyFont="1" applyFill="1" applyBorder="1" applyAlignment="1">
      <alignment horizontal="center" vertical="center"/>
    </xf>
    <xf numFmtId="0" fontId="154" fillId="60" borderId="41" xfId="0" applyFont="1" applyFill="1" applyBorder="1" applyAlignment="1">
      <alignment horizontal="center" vertical="center"/>
    </xf>
    <xf numFmtId="0" fontId="154" fillId="60" borderId="0" xfId="0" applyFont="1" applyFill="1" applyAlignment="1">
      <alignment horizontal="center" vertical="center"/>
    </xf>
    <xf numFmtId="0" fontId="154" fillId="60" borderId="127" xfId="0" applyFont="1" applyFill="1" applyBorder="1" applyAlignment="1">
      <alignment horizontal="center" vertical="center"/>
    </xf>
    <xf numFmtId="0" fontId="50" fillId="56" borderId="90" xfId="0" applyFont="1" applyFill="1" applyBorder="1" applyAlignment="1">
      <alignment horizontal="center" vertical="center" wrapText="1"/>
    </xf>
    <xf numFmtId="0" fontId="50" fillId="56" borderId="83" xfId="0" applyFont="1" applyFill="1" applyBorder="1" applyAlignment="1">
      <alignment horizontal="center" vertical="center" wrapText="1"/>
    </xf>
    <xf numFmtId="0" fontId="50" fillId="56" borderId="88" xfId="0" applyFont="1" applyFill="1" applyBorder="1" applyAlignment="1">
      <alignment horizontal="center" vertical="center" wrapText="1"/>
    </xf>
    <xf numFmtId="0" fontId="7" fillId="54" borderId="159" xfId="0" applyFont="1" applyFill="1" applyBorder="1" applyAlignment="1">
      <alignment horizontal="left" vertical="center" wrapText="1"/>
    </xf>
    <xf numFmtId="0" fontId="7" fillId="54" borderId="195" xfId="0" applyFont="1" applyFill="1" applyBorder="1" applyAlignment="1">
      <alignment horizontal="left" vertical="center" wrapText="1"/>
    </xf>
    <xf numFmtId="0" fontId="50" fillId="56" borderId="22" xfId="0" applyFont="1" applyFill="1" applyBorder="1" applyAlignment="1">
      <alignment horizontal="center" vertical="center" wrapText="1"/>
    </xf>
    <xf numFmtId="0" fontId="50" fillId="56" borderId="86" xfId="0" applyFont="1" applyFill="1" applyBorder="1" applyAlignment="1">
      <alignment horizontal="center" vertical="center" wrapText="1"/>
    </xf>
    <xf numFmtId="0" fontId="50" fillId="56" borderId="165" xfId="0" applyFont="1" applyFill="1" applyBorder="1" applyAlignment="1">
      <alignment horizontal="center" vertical="center" wrapText="1"/>
    </xf>
    <xf numFmtId="0" fontId="50" fillId="56" borderId="154" xfId="0" applyFont="1" applyFill="1" applyBorder="1" applyAlignment="1">
      <alignment horizontal="center" vertical="center" wrapText="1"/>
    </xf>
    <xf numFmtId="0" fontId="7" fillId="56" borderId="20" xfId="0" applyFont="1" applyFill="1" applyBorder="1" applyAlignment="1">
      <alignment horizontal="center" vertical="center" wrapText="1"/>
    </xf>
    <xf numFmtId="0" fontId="7" fillId="56" borderId="38" xfId="0" applyFont="1" applyFill="1" applyBorder="1" applyAlignment="1">
      <alignment horizontal="center" vertical="center" wrapText="1"/>
    </xf>
    <xf numFmtId="0" fontId="7" fillId="56" borderId="222" xfId="0" applyFont="1" applyFill="1" applyBorder="1" applyAlignment="1">
      <alignment horizontal="center" vertical="center" wrapText="1"/>
    </xf>
    <xf numFmtId="0" fontId="6" fillId="54" borderId="6" xfId="0" applyFont="1" applyFill="1" applyBorder="1" applyAlignment="1">
      <alignment horizontal="left" vertical="center" wrapText="1"/>
    </xf>
    <xf numFmtId="0" fontId="6" fillId="54" borderId="3" xfId="0" applyFont="1" applyFill="1" applyBorder="1" applyAlignment="1">
      <alignment horizontal="left" vertical="center" wrapText="1"/>
    </xf>
    <xf numFmtId="0" fontId="6" fillId="54" borderId="11" xfId="0" applyFont="1" applyFill="1" applyBorder="1" applyAlignment="1">
      <alignment horizontal="left" vertical="center" wrapText="1"/>
    </xf>
    <xf numFmtId="0" fontId="7" fillId="54" borderId="84" xfId="0" applyFont="1" applyFill="1" applyBorder="1" applyAlignment="1">
      <alignment horizontal="left" vertical="center" wrapText="1"/>
    </xf>
    <xf numFmtId="0" fontId="7" fillId="54" borderId="192" xfId="0" applyFont="1" applyFill="1" applyBorder="1" applyAlignment="1">
      <alignment horizontal="left" vertical="center" wrapText="1"/>
    </xf>
    <xf numFmtId="0" fontId="7" fillId="56" borderId="39" xfId="0" applyFont="1" applyFill="1" applyBorder="1" applyAlignment="1">
      <alignment horizontal="center" vertical="center" wrapText="1"/>
    </xf>
    <xf numFmtId="3" fontId="7" fillId="56" borderId="20" xfId="0" applyNumberFormat="1" applyFont="1" applyFill="1" applyBorder="1" applyAlignment="1">
      <alignment horizontal="center" vertical="center" wrapText="1"/>
    </xf>
    <xf numFmtId="3" fontId="7" fillId="56" borderId="38" xfId="0" applyNumberFormat="1" applyFont="1" applyFill="1" applyBorder="1" applyAlignment="1">
      <alignment horizontal="center" vertical="center" wrapText="1"/>
    </xf>
    <xf numFmtId="3" fontId="7" fillId="56" borderId="39" xfId="0" applyNumberFormat="1" applyFont="1" applyFill="1" applyBorder="1" applyAlignment="1">
      <alignment horizontal="center" vertical="center" wrapText="1"/>
    </xf>
    <xf numFmtId="0" fontId="6" fillId="54" borderId="20" xfId="0" applyFont="1" applyFill="1" applyBorder="1" applyAlignment="1">
      <alignment horizontal="left" vertical="center" wrapText="1"/>
    </xf>
    <xf numFmtId="0" fontId="6" fillId="54" borderId="222" xfId="0" applyFont="1" applyFill="1" applyBorder="1" applyAlignment="1">
      <alignment horizontal="left" vertical="center" wrapText="1"/>
    </xf>
    <xf numFmtId="0" fontId="7" fillId="55" borderId="159" xfId="0" applyFont="1" applyFill="1" applyBorder="1" applyAlignment="1">
      <alignment horizontal="left" vertical="center" wrapText="1"/>
    </xf>
    <xf numFmtId="0" fontId="7" fillId="55" borderId="157" xfId="0" applyFont="1" applyFill="1" applyBorder="1" applyAlignment="1">
      <alignment horizontal="left" vertical="center" wrapText="1"/>
    </xf>
    <xf numFmtId="0" fontId="6" fillId="54" borderId="79" xfId="0" applyFont="1" applyFill="1" applyBorder="1" applyAlignment="1">
      <alignment horizontal="left" vertical="center" wrapText="1"/>
    </xf>
    <xf numFmtId="0" fontId="6" fillId="54" borderId="164" xfId="0" applyFont="1" applyFill="1" applyBorder="1" applyAlignment="1">
      <alignment horizontal="left" vertical="center" wrapText="1"/>
    </xf>
    <xf numFmtId="0" fontId="7" fillId="54" borderId="93" xfId="0" applyFont="1" applyFill="1" applyBorder="1" applyAlignment="1">
      <alignment horizontal="left" vertical="center" wrapText="1"/>
    </xf>
    <xf numFmtId="0" fontId="7" fillId="54" borderId="193" xfId="0" applyFont="1" applyFill="1" applyBorder="1" applyAlignment="1">
      <alignment horizontal="left" vertical="center" wrapText="1"/>
    </xf>
    <xf numFmtId="0" fontId="6" fillId="54" borderId="18" xfId="0" applyFont="1" applyFill="1" applyBorder="1" applyAlignment="1">
      <alignment horizontal="left" vertical="center" wrapText="1"/>
    </xf>
    <xf numFmtId="0" fontId="6" fillId="54" borderId="87" xfId="0" applyFont="1" applyFill="1" applyBorder="1" applyAlignment="1">
      <alignment horizontal="left" vertical="center" wrapText="1"/>
    </xf>
    <xf numFmtId="0" fontId="6" fillId="54" borderId="89" xfId="0" applyFont="1" applyFill="1" applyBorder="1" applyAlignment="1">
      <alignment horizontal="left" vertical="center" wrapText="1"/>
    </xf>
    <xf numFmtId="0" fontId="7" fillId="54" borderId="161" xfId="0" applyFont="1" applyFill="1" applyBorder="1" applyAlignment="1">
      <alignment horizontal="left" vertical="center" wrapText="1"/>
    </xf>
    <xf numFmtId="0" fontId="7" fillId="54" borderId="157" xfId="0" applyFont="1" applyFill="1" applyBorder="1" applyAlignment="1">
      <alignment horizontal="left" vertical="center" wrapText="1"/>
    </xf>
    <xf numFmtId="0" fontId="6" fillId="54" borderId="87" xfId="0" applyFont="1" applyFill="1" applyBorder="1" applyAlignment="1">
      <alignment horizontal="left" vertical="center"/>
    </xf>
    <xf numFmtId="0" fontId="6" fillId="54" borderId="89" xfId="0" applyFont="1" applyFill="1" applyBorder="1" applyAlignment="1">
      <alignment horizontal="left" vertical="center"/>
    </xf>
    <xf numFmtId="0" fontId="6" fillId="54" borderId="87" xfId="0" applyFont="1" applyFill="1" applyBorder="1" applyAlignment="1">
      <alignment vertical="center" wrapText="1"/>
    </xf>
    <xf numFmtId="0" fontId="6" fillId="54" borderId="169" xfId="0" applyFont="1" applyFill="1" applyBorder="1" applyAlignment="1">
      <alignment vertical="center" wrapText="1"/>
    </xf>
    <xf numFmtId="0" fontId="6" fillId="54" borderId="164" xfId="0" applyFont="1" applyFill="1" applyBorder="1" applyAlignment="1">
      <alignment vertical="center" wrapText="1"/>
    </xf>
    <xf numFmtId="0" fontId="6" fillId="54" borderId="169" xfId="0" applyFont="1" applyFill="1" applyBorder="1" applyAlignment="1">
      <alignment horizontal="left" vertical="center" wrapText="1"/>
    </xf>
    <xf numFmtId="0" fontId="6" fillId="54" borderId="169" xfId="0" applyFont="1" applyFill="1" applyBorder="1" applyAlignment="1">
      <alignment horizontal="left" vertical="center"/>
    </xf>
    <xf numFmtId="0" fontId="50" fillId="56" borderId="91" xfId="0" applyFont="1" applyFill="1" applyBorder="1" applyAlignment="1">
      <alignment horizontal="center" vertical="center" wrapText="1"/>
    </xf>
    <xf numFmtId="0" fontId="50" fillId="56" borderId="41" xfId="0" applyFont="1" applyFill="1" applyBorder="1" applyAlignment="1">
      <alignment horizontal="center" vertical="center" wrapText="1"/>
    </xf>
    <xf numFmtId="0" fontId="50" fillId="56" borderId="21" xfId="0" applyFont="1" applyFill="1" applyBorder="1" applyAlignment="1">
      <alignment horizontal="center" vertical="center" wrapText="1"/>
    </xf>
    <xf numFmtId="0" fontId="50" fillId="56" borderId="95" xfId="0" applyFont="1" applyFill="1" applyBorder="1" applyAlignment="1">
      <alignment horizontal="center" vertical="center" wrapText="1"/>
    </xf>
    <xf numFmtId="0" fontId="50" fillId="56" borderId="131" xfId="0" applyFont="1" applyFill="1" applyBorder="1" applyAlignment="1">
      <alignment horizontal="center" vertical="center" wrapText="1"/>
    </xf>
    <xf numFmtId="0" fontId="50" fillId="56" borderId="130" xfId="0" applyFont="1" applyFill="1" applyBorder="1" applyAlignment="1">
      <alignment horizontal="center" vertical="center" wrapText="1"/>
    </xf>
    <xf numFmtId="0" fontId="7" fillId="56" borderId="66" xfId="0" applyFont="1" applyFill="1" applyBorder="1" applyAlignment="1">
      <alignment horizontal="center" vertical="center"/>
    </xf>
    <xf numFmtId="0" fontId="7" fillId="56" borderId="13" xfId="0" applyFont="1" applyFill="1" applyBorder="1" applyAlignment="1">
      <alignment horizontal="center" vertical="center"/>
    </xf>
    <xf numFmtId="0" fontId="7" fillId="56" borderId="65" xfId="0" applyFont="1" applyFill="1" applyBorder="1" applyAlignment="1">
      <alignment horizontal="center" vertical="center"/>
    </xf>
    <xf numFmtId="0" fontId="20" fillId="0" borderId="0" xfId="0" applyFont="1" applyAlignment="1">
      <alignment horizontal="left" vertical="center" wrapText="1"/>
    </xf>
    <xf numFmtId="0" fontId="20" fillId="0" borderId="0" xfId="0" applyFont="1" applyAlignment="1">
      <alignment horizontal="left" wrapText="1"/>
    </xf>
    <xf numFmtId="0" fontId="7" fillId="56" borderId="163" xfId="0" applyFont="1" applyFill="1" applyBorder="1" applyAlignment="1">
      <alignment horizontal="center" vertical="center"/>
    </xf>
    <xf numFmtId="0" fontId="7" fillId="56" borderId="58" xfId="0" applyFont="1" applyFill="1" applyBorder="1" applyAlignment="1">
      <alignment horizontal="center" vertical="center"/>
    </xf>
    <xf numFmtId="0" fontId="7" fillId="56" borderId="59" xfId="0" applyFont="1" applyFill="1" applyBorder="1" applyAlignment="1">
      <alignment horizontal="center" vertical="center"/>
    </xf>
    <xf numFmtId="49" fontId="50" fillId="56" borderId="14" xfId="0" applyNumberFormat="1" applyFont="1" applyFill="1" applyBorder="1" applyAlignment="1">
      <alignment horizontal="center" vertical="center"/>
    </xf>
    <xf numFmtId="49" fontId="50" fillId="56" borderId="15" xfId="0" applyNumberFormat="1" applyFont="1" applyFill="1" applyBorder="1" applyAlignment="1">
      <alignment horizontal="center" vertical="center"/>
    </xf>
    <xf numFmtId="49" fontId="50" fillId="56" borderId="22" xfId="0" applyNumberFormat="1" applyFont="1" applyFill="1" applyBorder="1" applyAlignment="1">
      <alignment horizontal="center" vertical="center"/>
    </xf>
    <xf numFmtId="3" fontId="50" fillId="56" borderId="14" xfId="0" applyNumberFormat="1" applyFont="1" applyFill="1" applyBorder="1" applyAlignment="1">
      <alignment horizontal="center" vertical="center"/>
    </xf>
    <xf numFmtId="3" fontId="50" fillId="56" borderId="15" xfId="0" applyNumberFormat="1" applyFont="1" applyFill="1" applyBorder="1" applyAlignment="1">
      <alignment horizontal="center" vertical="center"/>
    </xf>
    <xf numFmtId="3" fontId="50" fillId="56" borderId="22" xfId="0" applyNumberFormat="1" applyFont="1" applyFill="1" applyBorder="1" applyAlignment="1">
      <alignment horizontal="center" vertical="center"/>
    </xf>
    <xf numFmtId="3" fontId="50" fillId="56" borderId="4" xfId="0" applyNumberFormat="1" applyFont="1" applyFill="1" applyBorder="1" applyAlignment="1">
      <alignment horizontal="center" vertical="center"/>
    </xf>
    <xf numFmtId="3" fontId="50" fillId="56" borderId="5" xfId="0" applyNumberFormat="1" applyFont="1" applyFill="1" applyBorder="1" applyAlignment="1">
      <alignment horizontal="center" vertical="center"/>
    </xf>
    <xf numFmtId="3" fontId="50" fillId="56" borderId="40" xfId="0" applyNumberFormat="1" applyFont="1" applyFill="1" applyBorder="1" applyAlignment="1">
      <alignment horizontal="center" vertical="center"/>
    </xf>
    <xf numFmtId="172" fontId="53" fillId="54" borderId="36" xfId="9" applyNumberFormat="1" applyFont="1" applyFill="1" applyBorder="1" applyAlignment="1">
      <alignment horizontal="center" vertical="top"/>
    </xf>
    <xf numFmtId="172" fontId="53" fillId="54" borderId="86" xfId="9" applyNumberFormat="1" applyFont="1" applyFill="1" applyBorder="1" applyAlignment="1">
      <alignment horizontal="center" vertical="top"/>
    </xf>
    <xf numFmtId="172" fontId="53" fillId="54" borderId="113" xfId="9" applyNumberFormat="1" applyFont="1" applyFill="1" applyBorder="1" applyAlignment="1">
      <alignment horizontal="center" vertical="top"/>
    </xf>
    <xf numFmtId="172" fontId="53" fillId="54" borderId="88" xfId="9" applyNumberFormat="1" applyFont="1" applyFill="1" applyBorder="1" applyAlignment="1">
      <alignment horizontal="center" vertical="top"/>
    </xf>
    <xf numFmtId="0" fontId="56" fillId="55" borderId="20" xfId="9" applyFont="1" applyFill="1" applyBorder="1" applyAlignment="1">
      <alignment horizontal="center" vertical="top"/>
    </xf>
    <xf numFmtId="0" fontId="56" fillId="55" borderId="39" xfId="9" applyFont="1" applyFill="1" applyBorder="1" applyAlignment="1">
      <alignment horizontal="center" vertical="top"/>
    </xf>
    <xf numFmtId="172" fontId="53" fillId="54" borderId="14" xfId="9" applyNumberFormat="1" applyFont="1" applyFill="1" applyBorder="1" applyAlignment="1">
      <alignment horizontal="center" vertical="top"/>
    </xf>
    <xf numFmtId="172" fontId="53" fillId="54" borderId="22" xfId="9" applyNumberFormat="1" applyFont="1" applyFill="1" applyBorder="1" applyAlignment="1">
      <alignment horizontal="center" vertical="top"/>
    </xf>
    <xf numFmtId="172" fontId="53" fillId="54" borderId="41" xfId="9" applyNumberFormat="1" applyFont="1" applyFill="1" applyBorder="1" applyAlignment="1">
      <alignment horizontal="center" vertical="top"/>
    </xf>
    <xf numFmtId="172" fontId="53" fillId="54" borderId="127" xfId="9" applyNumberFormat="1" applyFont="1" applyFill="1" applyBorder="1" applyAlignment="1">
      <alignment horizontal="center" vertical="top"/>
    </xf>
    <xf numFmtId="172" fontId="53" fillId="54" borderId="23" xfId="9" applyNumberFormat="1" applyFont="1" applyFill="1" applyBorder="1" applyAlignment="1">
      <alignment horizontal="center" vertical="top"/>
    </xf>
    <xf numFmtId="172" fontId="53" fillId="54" borderId="83" xfId="9" applyNumberFormat="1" applyFont="1" applyFill="1" applyBorder="1" applyAlignment="1">
      <alignment horizontal="center" vertical="top"/>
    </xf>
    <xf numFmtId="0" fontId="50" fillId="56" borderId="14" xfId="9" applyFont="1" applyFill="1" applyBorder="1" applyAlignment="1">
      <alignment horizontal="center" vertical="center" wrapText="1"/>
    </xf>
    <xf numFmtId="0" fontId="50" fillId="56" borderId="15" xfId="9" applyFont="1" applyFill="1" applyBorder="1" applyAlignment="1">
      <alignment horizontal="center" vertical="center" wrapText="1"/>
    </xf>
    <xf numFmtId="0" fontId="50" fillId="56" borderId="22" xfId="9" applyFont="1" applyFill="1" applyBorder="1" applyAlignment="1">
      <alignment horizontal="center" vertical="center" wrapText="1"/>
    </xf>
    <xf numFmtId="0" fontId="50" fillId="56" borderId="20" xfId="9" applyFont="1" applyFill="1" applyBorder="1" applyAlignment="1">
      <alignment horizontal="center" vertical="center" wrapText="1"/>
    </xf>
    <xf numFmtId="0" fontId="50" fillId="56" borderId="38" xfId="9" applyFont="1" applyFill="1" applyBorder="1" applyAlignment="1">
      <alignment horizontal="center" vertical="center" wrapText="1"/>
    </xf>
    <xf numFmtId="0" fontId="50" fillId="56" borderId="39" xfId="9" applyFont="1" applyFill="1" applyBorder="1" applyAlignment="1">
      <alignment horizontal="center" vertical="center" wrapText="1"/>
    </xf>
    <xf numFmtId="0" fontId="50" fillId="55" borderId="91" xfId="9" applyFont="1" applyFill="1" applyBorder="1" applyAlignment="1">
      <alignment horizontal="center" vertical="center" wrapText="1"/>
    </xf>
    <xf numFmtId="0" fontId="50" fillId="55" borderId="31" xfId="9" applyFont="1" applyFill="1" applyBorder="1" applyAlignment="1">
      <alignment horizontal="center" vertical="center" wrapText="1"/>
    </xf>
    <xf numFmtId="0" fontId="50" fillId="55" borderId="33" xfId="9" applyFont="1" applyFill="1" applyBorder="1" applyAlignment="1">
      <alignment horizontal="center" vertical="center" wrapText="1"/>
    </xf>
    <xf numFmtId="0" fontId="56" fillId="55" borderId="38" xfId="9" applyFont="1" applyFill="1" applyBorder="1" applyAlignment="1">
      <alignment horizontal="center" vertical="top"/>
    </xf>
    <xf numFmtId="172" fontId="53" fillId="54" borderId="15" xfId="9" applyNumberFormat="1" applyFont="1" applyFill="1" applyBorder="1" applyAlignment="1">
      <alignment horizontal="center" vertical="top"/>
    </xf>
    <xf numFmtId="0" fontId="50" fillId="55" borderId="15" xfId="9" applyFont="1" applyFill="1" applyBorder="1" applyAlignment="1">
      <alignment horizontal="center" vertical="center" wrapText="1"/>
    </xf>
    <xf numFmtId="0" fontId="50" fillId="55" borderId="22" xfId="9" applyFont="1" applyFill="1" applyBorder="1" applyAlignment="1">
      <alignment horizontal="center" vertical="center" wrapText="1"/>
    </xf>
    <xf numFmtId="0" fontId="50" fillId="55" borderId="301" xfId="9" applyFont="1" applyFill="1" applyBorder="1" applyAlignment="1">
      <alignment horizontal="center" vertical="center" wrapText="1"/>
    </xf>
    <xf numFmtId="0" fontId="50" fillId="55" borderId="302" xfId="9" applyFont="1" applyFill="1" applyBorder="1" applyAlignment="1">
      <alignment horizontal="center" vertical="center" wrapText="1"/>
    </xf>
    <xf numFmtId="172" fontId="53" fillId="54" borderId="129" xfId="9" applyNumberFormat="1" applyFont="1" applyFill="1" applyBorder="1" applyAlignment="1">
      <alignment horizontal="center" vertical="top"/>
    </xf>
    <xf numFmtId="0" fontId="50" fillId="55" borderId="20" xfId="9" applyFont="1" applyFill="1" applyBorder="1" applyAlignment="1">
      <alignment horizontal="center" vertical="center" wrapText="1"/>
    </xf>
    <xf numFmtId="0" fontId="50" fillId="55" borderId="38" xfId="9" applyFont="1" applyFill="1" applyBorder="1" applyAlignment="1">
      <alignment horizontal="center" vertical="center" wrapText="1"/>
    </xf>
    <xf numFmtId="0" fontId="50" fillId="55" borderId="39" xfId="9" applyFont="1" applyFill="1" applyBorder="1" applyAlignment="1">
      <alignment horizontal="center" vertical="center" wrapText="1"/>
    </xf>
    <xf numFmtId="0" fontId="26" fillId="0" borderId="0" xfId="9" applyFont="1" applyAlignment="1">
      <alignment horizontal="left" vertical="top" wrapText="1"/>
    </xf>
    <xf numFmtId="0" fontId="6" fillId="0" borderId="0" xfId="9" applyFont="1" applyAlignment="1">
      <alignment horizontal="left" vertical="top" wrapText="1"/>
    </xf>
    <xf numFmtId="0" fontId="20" fillId="0" borderId="0" xfId="0" applyFont="1" applyAlignment="1">
      <alignment horizontal="left" vertical="top" wrapText="1"/>
    </xf>
    <xf numFmtId="0" fontId="56" fillId="55" borderId="21" xfId="9" applyFont="1" applyFill="1" applyBorder="1" applyAlignment="1">
      <alignment horizontal="center" vertical="top"/>
    </xf>
    <xf numFmtId="0" fontId="56" fillId="55" borderId="128" xfId="9" applyFont="1" applyFill="1" applyBorder="1" applyAlignment="1">
      <alignment horizontal="center" vertical="top"/>
    </xf>
    <xf numFmtId="172" fontId="53" fillId="54" borderId="162" xfId="9" applyNumberFormat="1" applyFont="1" applyFill="1" applyBorder="1" applyAlignment="1">
      <alignment horizontal="center" vertical="top"/>
    </xf>
    <xf numFmtId="172" fontId="53" fillId="54" borderId="90" xfId="9" applyNumberFormat="1" applyFont="1" applyFill="1" applyBorder="1" applyAlignment="1">
      <alignment horizontal="center" vertical="top"/>
    </xf>
    <xf numFmtId="172" fontId="53" fillId="54" borderId="500" xfId="9" applyNumberFormat="1" applyFont="1" applyFill="1" applyBorder="1" applyAlignment="1">
      <alignment horizontal="center" vertical="top"/>
    </xf>
    <xf numFmtId="172" fontId="53" fillId="54" borderId="501" xfId="9" applyNumberFormat="1" applyFont="1" applyFill="1" applyBorder="1" applyAlignment="1">
      <alignment horizontal="center" vertical="top"/>
    </xf>
    <xf numFmtId="0" fontId="6" fillId="0" borderId="14" xfId="0" applyFont="1" applyBorder="1" applyAlignment="1">
      <alignment horizontal="left" vertical="center" wrapText="1"/>
    </xf>
    <xf numFmtId="0" fontId="6" fillId="0" borderId="7" xfId="0" applyFont="1" applyBorder="1" applyAlignment="1">
      <alignment horizontal="left" vertical="center" wrapText="1"/>
    </xf>
    <xf numFmtId="0" fontId="6" fillId="0" borderId="82" xfId="0" applyFont="1" applyBorder="1" applyAlignment="1">
      <alignment horizontal="left" vertical="center" wrapText="1"/>
    </xf>
    <xf numFmtId="0" fontId="7" fillId="54" borderId="80" xfId="9" applyFont="1" applyFill="1" applyBorder="1" applyAlignment="1">
      <alignment horizontal="center" vertical="top"/>
    </xf>
    <xf numFmtId="0" fontId="7" fillId="54" borderId="101" xfId="9" applyFont="1" applyFill="1" applyBorder="1" applyAlignment="1">
      <alignment horizontal="center" vertical="top"/>
    </xf>
    <xf numFmtId="0" fontId="6" fillId="0" borderId="22" xfId="0" applyFont="1" applyBorder="1" applyAlignment="1">
      <alignment horizontal="left" vertical="center" wrapText="1"/>
    </xf>
    <xf numFmtId="0" fontId="6" fillId="3" borderId="85" xfId="9" applyFont="1" applyFill="1" applyBorder="1" applyAlignment="1">
      <alignment horizontal="left" vertical="center" wrapText="1"/>
    </xf>
    <xf numFmtId="0" fontId="6" fillId="3" borderId="86" xfId="9" applyFont="1" applyFill="1" applyBorder="1" applyAlignment="1">
      <alignment horizontal="left" vertical="center" wrapText="1"/>
    </xf>
    <xf numFmtId="0" fontId="8" fillId="0" borderId="0" xfId="0" applyFont="1" applyAlignment="1">
      <alignment horizontal="left" wrapText="1"/>
    </xf>
    <xf numFmtId="0" fontId="6" fillId="3" borderId="129" xfId="9" applyFont="1" applyFill="1" applyBorder="1" applyAlignment="1">
      <alignment horizontal="left" vertical="center" wrapText="1"/>
    </xf>
    <xf numFmtId="0" fontId="7" fillId="54" borderId="79" xfId="9" applyFont="1" applyFill="1" applyBorder="1" applyAlignment="1">
      <alignment horizontal="center" vertical="top"/>
    </xf>
    <xf numFmtId="0" fontId="7" fillId="54" borderId="32" xfId="9" applyFont="1" applyFill="1" applyBorder="1" applyAlignment="1">
      <alignment horizontal="center" vertical="top"/>
    </xf>
    <xf numFmtId="0" fontId="7" fillId="54" borderId="158" xfId="9" applyFont="1" applyFill="1" applyBorder="1" applyAlignment="1">
      <alignment horizontal="center" vertical="top"/>
    </xf>
    <xf numFmtId="0" fontId="7" fillId="54" borderId="104" xfId="9" applyFont="1" applyFill="1" applyBorder="1" applyAlignment="1">
      <alignment horizontal="center" vertical="top"/>
    </xf>
    <xf numFmtId="0" fontId="6" fillId="0" borderId="15" xfId="0" applyFont="1" applyBorder="1" applyAlignment="1">
      <alignment horizontal="left" vertical="center" wrapText="1"/>
    </xf>
    <xf numFmtId="0" fontId="6" fillId="3" borderId="43" xfId="9" applyFont="1" applyFill="1" applyBorder="1" applyAlignment="1">
      <alignment horizontal="left" vertical="center" wrapText="1"/>
    </xf>
    <xf numFmtId="0" fontId="6" fillId="3" borderId="125" xfId="9" applyFont="1" applyFill="1" applyBorder="1" applyAlignment="1">
      <alignment horizontal="left" vertical="center" wrapText="1"/>
    </xf>
    <xf numFmtId="0" fontId="7" fillId="56" borderId="4" xfId="9" applyFont="1" applyFill="1" applyBorder="1" applyAlignment="1">
      <alignment horizontal="center" vertical="top"/>
    </xf>
    <xf numFmtId="0" fontId="7" fillId="56" borderId="40" xfId="9" applyFont="1" applyFill="1" applyBorder="1" applyAlignment="1">
      <alignment horizontal="center" vertical="top"/>
    </xf>
    <xf numFmtId="3" fontId="6" fillId="0" borderId="23" xfId="9" applyNumberFormat="1" applyFont="1" applyBorder="1" applyAlignment="1">
      <alignment horizontal="center" vertical="top"/>
    </xf>
    <xf numFmtId="3" fontId="6" fillId="0" borderId="83" xfId="9" applyNumberFormat="1" applyFont="1" applyBorder="1" applyAlignment="1">
      <alignment horizontal="center" vertical="top"/>
    </xf>
    <xf numFmtId="3" fontId="6" fillId="0" borderId="36" xfId="9" applyNumberFormat="1" applyFont="1" applyBorder="1" applyAlignment="1">
      <alignment horizontal="center" vertical="top"/>
    </xf>
    <xf numFmtId="3" fontId="6" fillId="0" borderId="86" xfId="9" applyNumberFormat="1" applyFont="1" applyBorder="1" applyAlignment="1">
      <alignment horizontal="center" vertical="top"/>
    </xf>
    <xf numFmtId="3" fontId="6" fillId="3" borderId="18" xfId="9" applyNumberFormat="1" applyFont="1" applyFill="1" applyBorder="1" applyAlignment="1">
      <alignment horizontal="center" vertical="top"/>
    </xf>
    <xf numFmtId="3" fontId="6" fillId="3" borderId="279" xfId="9" applyNumberFormat="1" applyFont="1" applyFill="1" applyBorder="1" applyAlignment="1">
      <alignment horizontal="center" vertical="top"/>
    </xf>
    <xf numFmtId="3" fontId="6" fillId="3" borderId="295" xfId="9" applyNumberFormat="1" applyFont="1" applyFill="1" applyBorder="1" applyAlignment="1">
      <alignment horizontal="center" vertical="top"/>
    </xf>
    <xf numFmtId="3" fontId="6" fillId="3" borderId="278" xfId="9" applyNumberFormat="1" applyFont="1" applyFill="1" applyBorder="1" applyAlignment="1">
      <alignment horizontal="center" vertical="top"/>
    </xf>
    <xf numFmtId="3" fontId="6" fillId="0" borderId="295" xfId="9" applyNumberFormat="1" applyFont="1" applyBorder="1" applyAlignment="1">
      <alignment horizontal="center" vertical="top"/>
    </xf>
    <xf numFmtId="3" fontId="6" fillId="0" borderId="81" xfId="9" applyNumberFormat="1" applyFont="1" applyBorder="1" applyAlignment="1">
      <alignment horizontal="center" vertical="top"/>
    </xf>
    <xf numFmtId="3" fontId="6" fillId="0" borderId="32" xfId="9" applyNumberFormat="1" applyFont="1" applyBorder="1" applyAlignment="1">
      <alignment horizontal="center" vertical="top"/>
    </xf>
    <xf numFmtId="3" fontId="6" fillId="0" borderId="3" xfId="9" applyNumberFormat="1" applyFont="1" applyBorder="1" applyAlignment="1">
      <alignment horizontal="center" vertical="top"/>
    </xf>
    <xf numFmtId="3" fontId="6" fillId="0" borderId="2" xfId="9" applyNumberFormat="1" applyFont="1" applyBorder="1" applyAlignment="1">
      <alignment horizontal="center" vertical="top"/>
    </xf>
    <xf numFmtId="3" fontId="6" fillId="0" borderId="13" xfId="9" applyNumberFormat="1" applyFont="1" applyBorder="1" applyAlignment="1">
      <alignment horizontal="center" vertical="top"/>
    </xf>
    <xf numFmtId="0" fontId="7" fillId="56" borderId="259" xfId="9" applyFont="1" applyFill="1" applyBorder="1" applyAlignment="1">
      <alignment horizontal="center" vertical="top"/>
    </xf>
    <xf numFmtId="0" fontId="7" fillId="56" borderId="257" xfId="9" applyFont="1" applyFill="1" applyBorder="1" applyAlignment="1">
      <alignment horizontal="center" vertical="top"/>
    </xf>
    <xf numFmtId="0" fontId="7" fillId="56" borderId="290" xfId="9" applyFont="1" applyFill="1" applyBorder="1" applyAlignment="1">
      <alignment horizontal="center" vertical="top"/>
    </xf>
    <xf numFmtId="0" fontId="7" fillId="0" borderId="4" xfId="9" applyFont="1" applyBorder="1" applyAlignment="1">
      <alignment horizontal="center" vertical="top"/>
    </xf>
    <xf numFmtId="0" fontId="7" fillId="0" borderId="82" xfId="9" applyFont="1" applyBorder="1" applyAlignment="1">
      <alignment horizontal="center" vertical="top"/>
    </xf>
    <xf numFmtId="0" fontId="7" fillId="56" borderId="255" xfId="9" applyFont="1" applyFill="1" applyBorder="1" applyAlignment="1">
      <alignment horizontal="center" vertical="top"/>
    </xf>
    <xf numFmtId="3" fontId="6" fillId="0" borderId="18" xfId="9" applyNumberFormat="1" applyFont="1" applyBorder="1" applyAlignment="1">
      <alignment horizontal="center" vertical="top"/>
    </xf>
    <xf numFmtId="3" fontId="6" fillId="0" borderId="4" xfId="9" applyNumberFormat="1" applyFont="1" applyBorder="1" applyAlignment="1">
      <alignment horizontal="center" vertical="top"/>
    </xf>
    <xf numFmtId="3" fontId="6" fillId="0" borderId="40" xfId="9" applyNumberFormat="1" applyFont="1" applyBorder="1" applyAlignment="1">
      <alignment horizontal="center" vertical="top"/>
    </xf>
    <xf numFmtId="3" fontId="6" fillId="0" borderId="19" xfId="9" applyNumberFormat="1" applyFont="1" applyBorder="1" applyAlignment="1">
      <alignment horizontal="center" vertical="top"/>
    </xf>
    <xf numFmtId="3" fontId="6" fillId="0" borderId="92" xfId="9" applyNumberFormat="1" applyFont="1" applyBorder="1" applyAlignment="1">
      <alignment horizontal="center" vertical="top"/>
    </xf>
    <xf numFmtId="3" fontId="6" fillId="0" borderId="162" xfId="9" applyNumberFormat="1" applyFont="1" applyBorder="1" applyAlignment="1">
      <alignment horizontal="center" vertical="top"/>
    </xf>
    <xf numFmtId="3" fontId="6" fillId="0" borderId="90" xfId="9" applyNumberFormat="1" applyFont="1" applyBorder="1" applyAlignment="1">
      <alignment horizontal="center" vertical="top"/>
    </xf>
    <xf numFmtId="0" fontId="6" fillId="3" borderId="19" xfId="0" applyFont="1" applyFill="1" applyBorder="1" applyAlignment="1">
      <alignment horizontal="left" vertical="top"/>
    </xf>
    <xf numFmtId="0" fontId="6" fillId="3" borderId="1" xfId="0" applyFont="1" applyFill="1" applyBorder="1" applyAlignment="1">
      <alignment horizontal="left" vertical="top"/>
    </xf>
    <xf numFmtId="0" fontId="6" fillId="3" borderId="92" xfId="0" applyFont="1" applyFill="1" applyBorder="1" applyAlignment="1">
      <alignment horizontal="left" vertical="top"/>
    </xf>
    <xf numFmtId="0" fontId="6" fillId="3" borderId="36" xfId="0" applyFont="1" applyFill="1" applyBorder="1" applyAlignment="1">
      <alignment horizontal="left" vertical="top"/>
    </xf>
    <xf numFmtId="0" fontId="6" fillId="3" borderId="129" xfId="0" applyFont="1" applyFill="1" applyBorder="1" applyAlignment="1">
      <alignment horizontal="left" vertical="top"/>
    </xf>
    <xf numFmtId="0" fontId="6" fillId="3" borderId="86" xfId="0" applyFont="1" applyFill="1" applyBorder="1" applyAlignment="1">
      <alignment horizontal="left" vertical="top"/>
    </xf>
    <xf numFmtId="0" fontId="26" fillId="0" borderId="161" xfId="0" applyFont="1" applyBorder="1" applyAlignment="1">
      <alignment horizontal="left" vertical="top" wrapText="1"/>
    </xf>
    <xf numFmtId="0" fontId="26" fillId="0" borderId="158" xfId="0" applyFont="1" applyBorder="1" applyAlignment="1">
      <alignment horizontal="left" vertical="top" wrapText="1"/>
    </xf>
    <xf numFmtId="0" fontId="26" fillId="0" borderId="157" xfId="0" applyFont="1" applyBorder="1" applyAlignment="1">
      <alignment horizontal="left" vertical="top" wrapText="1"/>
    </xf>
    <xf numFmtId="0" fontId="26" fillId="0" borderId="164" xfId="0" applyFont="1" applyBorder="1" applyAlignment="1">
      <alignment horizontal="left" vertical="top" wrapText="1"/>
    </xf>
    <xf numFmtId="0" fontId="26" fillId="0" borderId="160" xfId="0" applyFont="1" applyBorder="1" applyAlignment="1">
      <alignment horizontal="left" vertical="top" wrapText="1"/>
    </xf>
    <xf numFmtId="0" fontId="26" fillId="0" borderId="97" xfId="0" applyFont="1" applyBorder="1" applyAlignment="1">
      <alignment horizontal="left" vertical="top" wrapText="1"/>
    </xf>
    <xf numFmtId="0" fontId="6" fillId="0" borderId="20" xfId="0" applyFont="1" applyBorder="1" applyAlignment="1">
      <alignment horizontal="left" vertical="center" wrapText="1"/>
    </xf>
    <xf numFmtId="0" fontId="6" fillId="0" borderId="38" xfId="0" applyFont="1" applyBorder="1" applyAlignment="1">
      <alignment horizontal="left" vertical="center" wrapText="1"/>
    </xf>
    <xf numFmtId="0" fontId="134" fillId="58" borderId="36" xfId="0" applyFont="1" applyFill="1" applyBorder="1" applyAlignment="1">
      <alignment horizontal="center" wrapText="1"/>
    </xf>
    <xf numFmtId="0" fontId="134" fillId="58" borderId="129" xfId="0" applyFont="1" applyFill="1" applyBorder="1" applyAlignment="1">
      <alignment horizontal="center" wrapText="1"/>
    </xf>
    <xf numFmtId="0" fontId="26" fillId="0" borderId="104" xfId="0" applyFont="1" applyBorder="1" applyAlignment="1">
      <alignment horizontal="left" vertical="top" wrapText="1"/>
    </xf>
    <xf numFmtId="0" fontId="26" fillId="0" borderId="125" xfId="0" applyFont="1" applyBorder="1" applyAlignment="1">
      <alignment horizontal="left" vertical="top" wrapText="1"/>
    </xf>
    <xf numFmtId="0" fontId="6" fillId="0" borderId="18" xfId="0" applyFont="1" applyBorder="1" applyAlignment="1">
      <alignment horizontal="left" vertical="top" wrapText="1"/>
    </xf>
    <xf numFmtId="0" fontId="6" fillId="0" borderId="113" xfId="0" applyFont="1" applyBorder="1" applyAlignment="1">
      <alignment horizontal="left" vertical="top" wrapText="1"/>
    </xf>
    <xf numFmtId="0" fontId="6" fillId="0" borderId="10" xfId="0" applyFont="1" applyBorder="1" applyAlignment="1">
      <alignment horizontal="left" vertical="top" wrapText="1"/>
    </xf>
    <xf numFmtId="0" fontId="6" fillId="0" borderId="36" xfId="0" applyFont="1" applyBorder="1" applyAlignment="1">
      <alignment horizontal="left" vertical="top" wrapText="1"/>
    </xf>
    <xf numFmtId="0" fontId="6" fillId="0" borderId="129" xfId="0" applyFont="1" applyBorder="1" applyAlignment="1">
      <alignment horizontal="left" vertical="top" wrapText="1"/>
    </xf>
    <xf numFmtId="176" fontId="6" fillId="0" borderId="38" xfId="1" applyNumberFormat="1" applyFont="1" applyBorder="1" applyAlignment="1">
      <alignment horizontal="left" vertical="center" wrapText="1"/>
    </xf>
    <xf numFmtId="0" fontId="6" fillId="0" borderId="39" xfId="0" applyFont="1" applyBorder="1" applyAlignment="1">
      <alignment horizontal="left" vertical="center" wrapText="1"/>
    </xf>
    <xf numFmtId="0" fontId="6" fillId="0" borderId="88" xfId="0" applyFont="1" applyBorder="1" applyAlignment="1">
      <alignment horizontal="left" vertical="top" wrapText="1"/>
    </xf>
    <xf numFmtId="0" fontId="6" fillId="0" borderId="86" xfId="0" applyFont="1" applyBorder="1" applyAlignment="1">
      <alignment horizontal="left" vertical="top" wrapText="1"/>
    </xf>
    <xf numFmtId="176" fontId="6" fillId="0" borderId="39" xfId="1" applyNumberFormat="1" applyFont="1" applyBorder="1" applyAlignment="1">
      <alignment horizontal="left" vertical="center" wrapText="1"/>
    </xf>
    <xf numFmtId="0" fontId="134" fillId="58" borderId="86" xfId="0" applyFont="1" applyFill="1" applyBorder="1" applyAlignment="1">
      <alignment horizontal="center" wrapText="1"/>
    </xf>
    <xf numFmtId="0" fontId="6" fillId="0" borderId="83" xfId="0" applyFont="1" applyBorder="1" applyAlignment="1">
      <alignment horizontal="left" vertical="top" wrapText="1"/>
    </xf>
    <xf numFmtId="0" fontId="6" fillId="0" borderId="23" xfId="0" applyFont="1" applyBorder="1" applyAlignment="1">
      <alignment horizontal="left" vertical="top" wrapText="1"/>
    </xf>
    <xf numFmtId="0" fontId="6" fillId="0" borderId="13" xfId="0" applyFont="1" applyBorder="1" applyAlignment="1">
      <alignment horizontal="left" vertical="top" wrapText="1"/>
    </xf>
    <xf numFmtId="0" fontId="6" fillId="57" borderId="91" xfId="0" applyFont="1" applyFill="1" applyBorder="1" applyAlignment="1">
      <alignment horizontal="left" vertical="center" wrapText="1"/>
    </xf>
    <xf numFmtId="0" fontId="6" fillId="57" borderId="31" xfId="0" applyFont="1" applyFill="1" applyBorder="1" applyAlignment="1">
      <alignment horizontal="left" vertical="center" wrapText="1"/>
    </xf>
    <xf numFmtId="0" fontId="6" fillId="0" borderId="41" xfId="0" applyFont="1" applyBorder="1" applyAlignment="1">
      <alignment horizontal="left" vertical="center"/>
    </xf>
    <xf numFmtId="0" fontId="6" fillId="0" borderId="0" xfId="0" applyFont="1" applyAlignment="1">
      <alignment horizontal="left" vertical="center"/>
    </xf>
    <xf numFmtId="0" fontId="6" fillId="0" borderId="18" xfId="0" applyFont="1" applyBorder="1" applyAlignment="1">
      <alignment horizontal="left" vertical="center"/>
    </xf>
    <xf numFmtId="0" fontId="6" fillId="0" borderId="43" xfId="0" applyFont="1" applyBorder="1" applyAlignment="1">
      <alignment horizontal="left" vertical="center"/>
    </xf>
    <xf numFmtId="0" fontId="6" fillId="0" borderId="0" xfId="0" applyFont="1" applyAlignment="1">
      <alignment horizontal="left" vertical="top" wrapText="1"/>
    </xf>
    <xf numFmtId="0" fontId="7" fillId="0" borderId="20"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39" xfId="0" applyFont="1" applyBorder="1" applyAlignment="1">
      <alignment horizontal="center" vertical="center" wrapText="1"/>
    </xf>
    <xf numFmtId="0" fontId="6" fillId="0" borderId="41" xfId="0" applyFont="1" applyBorder="1" applyAlignment="1">
      <alignment horizontal="left" vertical="center" wrapText="1"/>
    </xf>
    <xf numFmtId="0" fontId="7" fillId="0" borderId="1" xfId="0" applyFont="1" applyBorder="1" applyAlignment="1">
      <alignment horizontal="center" vertical="center" textRotation="90" wrapText="1"/>
    </xf>
    <xf numFmtId="0" fontId="20" fillId="0" borderId="0" xfId="0" applyFont="1" applyAlignment="1">
      <alignment wrapText="1"/>
    </xf>
    <xf numFmtId="0" fontId="29" fillId="0" borderId="0" xfId="0" applyFont="1" applyAlignment="1">
      <alignment wrapText="1"/>
    </xf>
    <xf numFmtId="0" fontId="10" fillId="0" borderId="0" xfId="0" applyFont="1" applyAlignment="1">
      <alignment wrapText="1"/>
    </xf>
    <xf numFmtId="0" fontId="6" fillId="0" borderId="33" xfId="0" applyFont="1" applyBorder="1" applyAlignment="1">
      <alignment vertical="center" wrapText="1"/>
    </xf>
    <xf numFmtId="0" fontId="6" fillId="0" borderId="127" xfId="0" applyFont="1" applyBorder="1" applyAlignment="1">
      <alignment vertical="center" wrapText="1"/>
    </xf>
    <xf numFmtId="0" fontId="6" fillId="0" borderId="128" xfId="0" applyFont="1" applyBorder="1" applyAlignment="1">
      <alignment vertical="center" wrapText="1"/>
    </xf>
    <xf numFmtId="0" fontId="6" fillId="7" borderId="95" xfId="0" applyFont="1" applyFill="1" applyBorder="1" applyAlignment="1">
      <alignment vertical="center" wrapText="1"/>
    </xf>
    <xf numFmtId="0" fontId="6" fillId="7" borderId="131" xfId="0" applyFont="1" applyFill="1" applyBorder="1" applyAlignment="1">
      <alignment vertical="center" wrapText="1"/>
    </xf>
    <xf numFmtId="0" fontId="6" fillId="7" borderId="130" xfId="0" applyFont="1" applyFill="1" applyBorder="1" applyAlignment="1">
      <alignment vertical="center" wrapText="1"/>
    </xf>
    <xf numFmtId="0" fontId="6" fillId="7" borderId="95" xfId="0" applyFont="1" applyFill="1" applyBorder="1" applyAlignment="1">
      <alignment horizontal="center" vertical="center" wrapText="1"/>
    </xf>
    <xf numFmtId="0" fontId="6" fillId="7" borderId="131" xfId="0" applyFont="1" applyFill="1" applyBorder="1" applyAlignment="1">
      <alignment horizontal="center" vertical="center" wrapText="1"/>
    </xf>
    <xf numFmtId="0" fontId="6" fillId="7" borderId="130" xfId="0" applyFont="1" applyFill="1" applyBorder="1" applyAlignment="1">
      <alignment horizontal="center" vertical="center" wrapText="1"/>
    </xf>
    <xf numFmtId="0" fontId="6" fillId="7" borderId="41" xfId="0" applyFont="1" applyFill="1" applyBorder="1" applyAlignment="1">
      <alignment vertical="center" wrapText="1"/>
    </xf>
    <xf numFmtId="0" fontId="6" fillId="7" borderId="21" xfId="0" applyFont="1" applyFill="1" applyBorder="1" applyAlignment="1">
      <alignment vertical="center" wrapText="1"/>
    </xf>
    <xf numFmtId="0" fontId="6" fillId="0" borderId="95" xfId="0" applyFont="1" applyBorder="1" applyAlignment="1">
      <alignment horizontal="left" vertical="center" wrapText="1"/>
    </xf>
    <xf numFmtId="0" fontId="0" fillId="0" borderId="131" xfId="0" applyBorder="1" applyAlignment="1">
      <alignment horizontal="left" vertical="center" wrapText="1"/>
    </xf>
    <xf numFmtId="0" fontId="0" fillId="0" borderId="130" xfId="0" applyBorder="1" applyAlignment="1">
      <alignment horizontal="left" vertical="center" wrapText="1"/>
    </xf>
    <xf numFmtId="0" fontId="7" fillId="0" borderId="41" xfId="0" applyFont="1" applyBorder="1" applyAlignment="1">
      <alignment horizontal="center" vertical="center" wrapText="1"/>
    </xf>
    <xf numFmtId="0" fontId="7" fillId="0" borderId="0" xfId="0" applyFont="1" applyAlignment="1">
      <alignment horizontal="center" vertical="center" wrapText="1"/>
    </xf>
    <xf numFmtId="0" fontId="6" fillId="0" borderId="21" xfId="0" applyFont="1" applyBorder="1" applyAlignment="1">
      <alignment horizontal="left" vertical="top" wrapText="1"/>
    </xf>
    <xf numFmtId="0" fontId="6" fillId="0" borderId="43" xfId="0" applyFont="1" applyBorder="1" applyAlignment="1">
      <alignment horizontal="left" vertical="top" wrapText="1"/>
    </xf>
    <xf numFmtId="0" fontId="6" fillId="0" borderId="131" xfId="0" applyFont="1" applyBorder="1" applyAlignment="1">
      <alignment horizontal="left" vertical="center" wrapText="1"/>
    </xf>
    <xf numFmtId="0" fontId="6" fillId="0" borderId="131" xfId="0" applyFont="1" applyBorder="1" applyAlignment="1">
      <alignment vertical="center" wrapText="1"/>
    </xf>
    <xf numFmtId="0" fontId="0" fillId="0" borderId="130" xfId="0" applyBorder="1" applyAlignment="1">
      <alignment vertical="center" wrapText="1"/>
    </xf>
    <xf numFmtId="0" fontId="6" fillId="0" borderId="91" xfId="0" applyFont="1" applyBorder="1" applyAlignment="1">
      <alignment horizontal="left" vertical="center" wrapText="1"/>
    </xf>
    <xf numFmtId="0" fontId="0" fillId="0" borderId="41" xfId="0" applyBorder="1" applyAlignment="1">
      <alignment horizontal="left" vertical="center" wrapText="1"/>
    </xf>
    <xf numFmtId="0" fontId="0" fillId="0" borderId="21" xfId="0" applyBorder="1" applyAlignment="1">
      <alignment horizontal="left" vertical="center" wrapText="1"/>
    </xf>
    <xf numFmtId="0" fontId="6" fillId="0" borderId="128" xfId="0" applyFont="1" applyBorder="1" applyAlignment="1">
      <alignment horizontal="left" vertical="center"/>
    </xf>
    <xf numFmtId="0" fontId="6" fillId="0" borderId="83" xfId="0" applyFont="1" applyBorder="1" applyAlignment="1">
      <alignment horizontal="left" vertical="center"/>
    </xf>
    <xf numFmtId="0" fontId="6" fillId="0" borderId="127" xfId="0" applyFont="1" applyBorder="1" applyAlignment="1">
      <alignment horizontal="left" vertical="center"/>
    </xf>
    <xf numFmtId="0" fontId="6" fillId="57" borderId="33" xfId="0" applyFont="1" applyFill="1" applyBorder="1" applyAlignment="1">
      <alignment horizontal="left" vertical="center" wrapText="1"/>
    </xf>
    <xf numFmtId="0" fontId="6" fillId="0" borderId="41" xfId="0" applyFont="1" applyBorder="1" applyAlignment="1">
      <alignment horizontal="left" vertical="top" wrapText="1"/>
    </xf>
    <xf numFmtId="0" fontId="6" fillId="0" borderId="127" xfId="0" applyFont="1" applyBorder="1" applyAlignment="1">
      <alignment horizontal="left" vertical="top" wrapText="1"/>
    </xf>
    <xf numFmtId="0" fontId="6" fillId="0" borderId="91" xfId="0" applyFont="1" applyBorder="1" applyAlignment="1">
      <alignment horizontal="left" vertical="top" wrapText="1"/>
    </xf>
    <xf numFmtId="0" fontId="6" fillId="0" borderId="31" xfId="0" applyFont="1" applyBorder="1" applyAlignment="1">
      <alignment horizontal="left" vertical="top" wrapText="1"/>
    </xf>
    <xf numFmtId="0" fontId="6" fillId="0" borderId="33" xfId="0" applyFont="1" applyBorder="1" applyAlignment="1">
      <alignment horizontal="left" vertical="top" wrapText="1"/>
    </xf>
    <xf numFmtId="0" fontId="6" fillId="57" borderId="41" xfId="0" applyFont="1" applyFill="1" applyBorder="1" applyAlignment="1">
      <alignment horizontal="left" vertical="center" wrapText="1"/>
    </xf>
    <xf numFmtId="0" fontId="6" fillId="57" borderId="0" xfId="0" applyFont="1" applyFill="1" applyAlignment="1">
      <alignment horizontal="left" vertical="center" wrapText="1"/>
    </xf>
    <xf numFmtId="0" fontId="6" fillId="57" borderId="127" xfId="0" applyFont="1" applyFill="1" applyBorder="1" applyAlignment="1">
      <alignment horizontal="left" vertical="center" wrapText="1"/>
    </xf>
    <xf numFmtId="0" fontId="6" fillId="0" borderId="127" xfId="0" applyFont="1" applyBorder="1" applyAlignment="1">
      <alignment horizontal="left" vertical="center" wrapText="1"/>
    </xf>
    <xf numFmtId="0" fontId="6" fillId="0" borderId="128" xfId="0" applyFont="1" applyBorder="1" applyAlignment="1">
      <alignment horizontal="left" vertical="top" wrapText="1"/>
    </xf>
    <xf numFmtId="0" fontId="6" fillId="7" borderId="95" xfId="0" applyFont="1" applyFill="1" applyBorder="1" applyAlignment="1">
      <alignment horizontal="left" vertical="center" wrapText="1"/>
    </xf>
    <xf numFmtId="0" fontId="6" fillId="7" borderId="131" xfId="0" applyFont="1" applyFill="1" applyBorder="1" applyAlignment="1">
      <alignment horizontal="left" vertical="center" wrapText="1"/>
    </xf>
    <xf numFmtId="0" fontId="6" fillId="7" borderId="130" xfId="0" applyFont="1" applyFill="1" applyBorder="1" applyAlignment="1">
      <alignment horizontal="left" vertical="center" wrapText="1"/>
    </xf>
    <xf numFmtId="0" fontId="6" fillId="57" borderId="91" xfId="0" applyFont="1" applyFill="1" applyBorder="1" applyAlignment="1">
      <alignment horizontal="left" vertical="center"/>
    </xf>
    <xf numFmtId="0" fontId="6" fillId="57" borderId="31" xfId="0" applyFont="1" applyFill="1" applyBorder="1" applyAlignment="1">
      <alignment horizontal="left" vertical="center"/>
    </xf>
    <xf numFmtId="0" fontId="6" fillId="57" borderId="33" xfId="0" applyFont="1" applyFill="1" applyBorder="1" applyAlignment="1">
      <alignment horizontal="left" vertical="center"/>
    </xf>
    <xf numFmtId="0" fontId="6" fillId="57" borderId="41" xfId="0" applyFont="1" applyFill="1" applyBorder="1" applyAlignment="1">
      <alignment horizontal="left" vertical="center"/>
    </xf>
    <xf numFmtId="0" fontId="6" fillId="57" borderId="0" xfId="0" applyFont="1" applyFill="1" applyAlignment="1">
      <alignment horizontal="left" vertical="center"/>
    </xf>
    <xf numFmtId="0" fontId="6" fillId="57" borderId="127" xfId="0" applyFont="1" applyFill="1" applyBorder="1" applyAlignment="1">
      <alignment horizontal="left" vertical="center"/>
    </xf>
    <xf numFmtId="0" fontId="7" fillId="0" borderId="91"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33"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left" vertical="top" wrapText="1"/>
    </xf>
    <xf numFmtId="0" fontId="26" fillId="0" borderId="1" xfId="0" applyFont="1" applyBorder="1" applyAlignment="1">
      <alignment horizontal="left" vertical="top" wrapText="1"/>
    </xf>
    <xf numFmtId="0" fontId="6" fillId="0" borderId="23" xfId="0" applyFont="1" applyBorder="1" applyAlignment="1">
      <alignment horizontal="left" vertical="center"/>
    </xf>
    <xf numFmtId="0" fontId="6" fillId="0" borderId="21" xfId="0" applyFont="1" applyBorder="1" applyAlignment="1">
      <alignment horizontal="left" vertical="center"/>
    </xf>
    <xf numFmtId="176" fontId="6" fillId="0" borderId="20" xfId="1" applyNumberFormat="1" applyFont="1" applyBorder="1" applyAlignment="1">
      <alignment horizontal="left" vertical="center" wrapText="1"/>
    </xf>
    <xf numFmtId="0" fontId="134" fillId="58" borderId="113" xfId="0" applyFont="1" applyFill="1" applyBorder="1" applyAlignment="1">
      <alignment horizontal="center" wrapText="1"/>
    </xf>
    <xf numFmtId="0" fontId="134" fillId="58" borderId="10" xfId="0" applyFont="1" applyFill="1" applyBorder="1" applyAlignment="1">
      <alignment horizontal="center" wrapText="1"/>
    </xf>
    <xf numFmtId="0" fontId="26" fillId="0" borderId="89" xfId="0" applyFont="1" applyBorder="1" applyAlignment="1">
      <alignment horizontal="left" vertical="top" wrapText="1"/>
    </xf>
    <xf numFmtId="0" fontId="26" fillId="0" borderId="28" xfId="0" applyFont="1" applyBorder="1" applyAlignment="1">
      <alignment horizontal="left" vertical="top" wrapText="1"/>
    </xf>
    <xf numFmtId="0" fontId="26" fillId="0" borderId="42" xfId="0" applyFont="1" applyBorder="1" applyAlignment="1">
      <alignment horizontal="left" vertical="top" wrapText="1"/>
    </xf>
    <xf numFmtId="0" fontId="26" fillId="3" borderId="89" xfId="0" applyFont="1" applyFill="1" applyBorder="1" applyAlignment="1">
      <alignment horizontal="left" vertical="top" wrapText="1"/>
    </xf>
    <xf numFmtId="0" fontId="26" fillId="3" borderId="28" xfId="0" applyFont="1" applyFill="1" applyBorder="1" applyAlignment="1">
      <alignment horizontal="left" vertical="top" wrapText="1"/>
    </xf>
    <xf numFmtId="0" fontId="26" fillId="3" borderId="42" xfId="0" applyFont="1" applyFill="1" applyBorder="1" applyAlignment="1">
      <alignment horizontal="left" vertical="top" wrapText="1"/>
    </xf>
    <xf numFmtId="0" fontId="18" fillId="56" borderId="66" xfId="0" applyFont="1" applyFill="1" applyBorder="1" applyAlignment="1">
      <alignment horizontal="center" vertical="center" wrapText="1"/>
    </xf>
    <xf numFmtId="0" fontId="18" fillId="56" borderId="13" xfId="0" applyFont="1" applyFill="1" applyBorder="1" applyAlignment="1">
      <alignment horizontal="center" vertical="center" wrapText="1"/>
    </xf>
    <xf numFmtId="0" fontId="18" fillId="56" borderId="0" xfId="0" applyFont="1" applyFill="1" applyAlignment="1">
      <alignment horizontal="center" vertical="center" wrapText="1"/>
    </xf>
    <xf numFmtId="0" fontId="18" fillId="56" borderId="127" xfId="0" applyFont="1" applyFill="1" applyBorder="1" applyAlignment="1">
      <alignment horizontal="center" vertical="center" wrapText="1"/>
    </xf>
    <xf numFmtId="0" fontId="18" fillId="56" borderId="216" xfId="0" applyFont="1" applyFill="1" applyBorder="1" applyAlignment="1">
      <alignment horizontal="center" vertical="center" wrapText="1"/>
    </xf>
    <xf numFmtId="0" fontId="18" fillId="56" borderId="228" xfId="0" applyFont="1" applyFill="1" applyBorder="1" applyAlignment="1">
      <alignment horizontal="center" vertical="center" wrapText="1"/>
    </xf>
    <xf numFmtId="0" fontId="7" fillId="56" borderId="243" xfId="0" applyFont="1" applyFill="1" applyBorder="1" applyAlignment="1">
      <alignment horizontal="center" vertical="center" textRotation="90" wrapText="1"/>
    </xf>
    <xf numFmtId="0" fontId="7" fillId="56" borderId="169" xfId="0" applyFont="1" applyFill="1" applyBorder="1" applyAlignment="1">
      <alignment horizontal="center" vertical="center" textRotation="90" wrapText="1"/>
    </xf>
    <xf numFmtId="0" fontId="7" fillId="56" borderId="41" xfId="0" applyFont="1" applyFill="1" applyBorder="1" applyAlignment="1">
      <alignment horizontal="center" vertical="center" textRotation="90" wrapText="1"/>
    </xf>
    <xf numFmtId="0" fontId="7" fillId="56" borderId="247" xfId="0" applyFont="1" applyFill="1" applyBorder="1" applyAlignment="1">
      <alignment horizontal="center" vertical="center" textRotation="90" wrapText="1"/>
    </xf>
    <xf numFmtId="0" fontId="7" fillId="70" borderId="200" xfId="0" applyFont="1" applyFill="1" applyBorder="1" applyAlignment="1">
      <alignment horizontal="center" vertical="center" textRotation="90" wrapText="1"/>
    </xf>
    <xf numFmtId="0" fontId="7" fillId="70" borderId="99" xfId="0" applyFont="1" applyFill="1" applyBorder="1" applyAlignment="1">
      <alignment horizontal="center" vertical="center" textRotation="90" wrapText="1"/>
    </xf>
    <xf numFmtId="0" fontId="7" fillId="70" borderId="101" xfId="0" applyFont="1" applyFill="1" applyBorder="1" applyAlignment="1">
      <alignment horizontal="center" vertical="center" textRotation="90" wrapText="1"/>
    </xf>
    <xf numFmtId="0" fontId="7" fillId="70" borderId="97" xfId="0" applyFont="1" applyFill="1" applyBorder="1" applyAlignment="1">
      <alignment horizontal="center" vertical="center" textRotation="90" wrapText="1"/>
    </xf>
    <xf numFmtId="0" fontId="7" fillId="70" borderId="94" xfId="0" applyFont="1" applyFill="1" applyBorder="1" applyAlignment="1">
      <alignment horizontal="center" vertical="center" textRotation="90" wrapText="1"/>
    </xf>
    <xf numFmtId="0" fontId="7" fillId="70" borderId="201" xfId="0" applyFont="1" applyFill="1" applyBorder="1" applyAlignment="1">
      <alignment horizontal="center" vertical="center" textRotation="90" wrapText="1"/>
    </xf>
    <xf numFmtId="0" fontId="7" fillId="56" borderId="56" xfId="0" applyFont="1" applyFill="1" applyBorder="1" applyAlignment="1">
      <alignment horizontal="center" vertical="center" textRotation="90" wrapText="1"/>
    </xf>
    <xf numFmtId="0" fontId="7" fillId="56" borderId="168" xfId="0" applyFont="1" applyFill="1" applyBorder="1" applyAlignment="1">
      <alignment horizontal="center" vertical="center" textRotation="90" wrapText="1"/>
    </xf>
    <xf numFmtId="0" fontId="7" fillId="56" borderId="54" xfId="0" applyFont="1" applyFill="1" applyBorder="1" applyAlignment="1">
      <alignment horizontal="center" vertical="center" textRotation="90" wrapText="1"/>
    </xf>
    <xf numFmtId="0" fontId="7" fillId="70" borderId="42" xfId="0" applyFont="1" applyFill="1" applyBorder="1" applyAlignment="1">
      <alignment horizontal="center" vertical="center" textRotation="90" wrapText="1"/>
    </xf>
    <xf numFmtId="0" fontId="18" fillId="56" borderId="8" xfId="0" applyFont="1" applyFill="1" applyBorder="1" applyAlignment="1">
      <alignment horizontal="center" vertical="center"/>
    </xf>
    <xf numFmtId="0" fontId="18" fillId="56" borderId="29" xfId="0" applyFont="1" applyFill="1" applyBorder="1" applyAlignment="1">
      <alignment horizontal="center" vertical="center"/>
    </xf>
    <xf numFmtId="0" fontId="18" fillId="56" borderId="9" xfId="0" applyFont="1" applyFill="1" applyBorder="1" applyAlignment="1">
      <alignment horizontal="center" vertical="center"/>
    </xf>
    <xf numFmtId="0" fontId="18" fillId="56" borderId="52" xfId="0" applyFont="1" applyFill="1" applyBorder="1" applyAlignment="1">
      <alignment horizontal="center" vertical="center"/>
    </xf>
    <xf numFmtId="0" fontId="7" fillId="56" borderId="246" xfId="0" applyFont="1" applyFill="1" applyBorder="1" applyAlignment="1">
      <alignment horizontal="center" vertical="center" textRotation="90" wrapText="1"/>
    </xf>
    <xf numFmtId="0" fontId="0" fillId="0" borderId="0" xfId="0" applyAlignment="1">
      <alignment wrapText="1"/>
    </xf>
    <xf numFmtId="0" fontId="50" fillId="0" borderId="152" xfId="0" applyFont="1" applyBorder="1" applyAlignment="1">
      <alignment horizontal="left" vertical="center" wrapText="1" readingOrder="1"/>
    </xf>
    <xf numFmtId="0" fontId="50" fillId="0" borderId="151" xfId="0" applyFont="1" applyBorder="1" applyAlignment="1">
      <alignment horizontal="left" vertical="center" wrapText="1" readingOrder="1"/>
    </xf>
    <xf numFmtId="0" fontId="11" fillId="0" borderId="150" xfId="0" applyFont="1" applyBorder="1" applyAlignment="1">
      <alignment horizontal="justify" vertical="center" wrapText="1" readingOrder="1"/>
    </xf>
    <xf numFmtId="0" fontId="11" fillId="0" borderId="149" xfId="0" applyFont="1" applyBorder="1" applyAlignment="1">
      <alignment horizontal="justify" vertical="center" wrapText="1" readingOrder="1"/>
    </xf>
    <xf numFmtId="0" fontId="11" fillId="0" borderId="148" xfId="0" applyFont="1" applyBorder="1" applyAlignment="1">
      <alignment horizontal="justify" vertical="center" wrapText="1" readingOrder="1"/>
    </xf>
    <xf numFmtId="0" fontId="11" fillId="0" borderId="136" xfId="0" applyFont="1" applyBorder="1" applyAlignment="1">
      <alignment horizontal="justify" vertical="center" wrapText="1" readingOrder="1"/>
    </xf>
    <xf numFmtId="0" fontId="11" fillId="0" borderId="0" xfId="0" applyFont="1" applyAlignment="1">
      <alignment horizontal="justify" vertical="center" wrapText="1" readingOrder="1"/>
    </xf>
    <xf numFmtId="0" fontId="11" fillId="0" borderId="135" xfId="0" applyFont="1" applyBorder="1" applyAlignment="1">
      <alignment horizontal="justify" vertical="center" wrapText="1" readingOrder="1"/>
    </xf>
    <xf numFmtId="0" fontId="11" fillId="0" borderId="134" xfId="0" applyFont="1" applyBorder="1" applyAlignment="1">
      <alignment horizontal="justify" vertical="center" wrapText="1" readingOrder="1"/>
    </xf>
    <xf numFmtId="0" fontId="11" fillId="0" borderId="147" xfId="0" applyFont="1" applyBorder="1" applyAlignment="1">
      <alignment horizontal="justify" vertical="center" wrapText="1" readingOrder="1"/>
    </xf>
    <xf numFmtId="0" fontId="11" fillId="0" borderId="133" xfId="0" applyFont="1" applyBorder="1" applyAlignment="1">
      <alignment horizontal="justify" vertical="center" wrapText="1" readingOrder="1"/>
    </xf>
    <xf numFmtId="0" fontId="54" fillId="0" borderId="142" xfId="0" applyFont="1" applyBorder="1" applyAlignment="1">
      <alignment horizontal="left" vertical="center" wrapText="1" readingOrder="1"/>
    </xf>
    <xf numFmtId="0" fontId="54" fillId="0" borderId="141" xfId="0" applyFont="1" applyBorder="1" applyAlignment="1">
      <alignment horizontal="left" vertical="center" wrapText="1" readingOrder="1"/>
    </xf>
    <xf numFmtId="0" fontId="54" fillId="0" borderId="140" xfId="0" applyFont="1" applyBorder="1" applyAlignment="1">
      <alignment horizontal="left" vertical="center" wrapText="1" readingOrder="1"/>
    </xf>
    <xf numFmtId="0" fontId="11" fillId="0" borderId="139" xfId="0" applyFont="1" applyBorder="1" applyAlignment="1">
      <alignment horizontal="justify" vertical="center" wrapText="1" readingOrder="1"/>
    </xf>
    <xf numFmtId="0" fontId="11" fillId="0" borderId="138" xfId="0" applyFont="1" applyBorder="1" applyAlignment="1">
      <alignment horizontal="justify" vertical="center" wrapText="1" readingOrder="1"/>
    </xf>
    <xf numFmtId="0" fontId="11" fillId="0" borderId="137" xfId="0" applyFont="1" applyBorder="1" applyAlignment="1">
      <alignment horizontal="justify" vertical="center" wrapText="1" readingOrder="1"/>
    </xf>
    <xf numFmtId="0" fontId="11" fillId="0" borderId="139" xfId="0" applyFont="1" applyBorder="1" applyAlignment="1">
      <alignment horizontal="left" vertical="center" wrapText="1" indent="2" readingOrder="1"/>
    </xf>
    <xf numFmtId="0" fontId="11" fillId="0" borderId="137" xfId="0" applyFont="1" applyBorder="1" applyAlignment="1">
      <alignment horizontal="left" vertical="center" wrapText="1" indent="2" readingOrder="1"/>
    </xf>
    <xf numFmtId="0" fontId="11" fillId="0" borderId="136" xfId="0" applyFont="1" applyBorder="1" applyAlignment="1">
      <alignment horizontal="left" vertical="center" wrapText="1" indent="2" readingOrder="1"/>
    </xf>
    <xf numFmtId="0" fontId="11" fillId="0" borderId="135" xfId="0" applyFont="1" applyBorder="1" applyAlignment="1">
      <alignment horizontal="left" vertical="center" wrapText="1" indent="2" readingOrder="1"/>
    </xf>
    <xf numFmtId="0" fontId="11" fillId="0" borderId="138" xfId="0" applyFont="1" applyBorder="1" applyAlignment="1">
      <alignment horizontal="left" vertical="center" wrapText="1" indent="2" readingOrder="1"/>
    </xf>
    <xf numFmtId="0" fontId="11" fillId="0" borderId="0" xfId="0" applyFont="1" applyAlignment="1">
      <alignment horizontal="left" vertical="center" wrapText="1" indent="2" readingOrder="1"/>
    </xf>
    <xf numFmtId="0" fontId="11" fillId="0" borderId="137" xfId="0" applyFont="1" applyBorder="1" applyAlignment="1">
      <alignment vertical="top" wrapText="1"/>
    </xf>
    <xf numFmtId="0" fontId="11" fillId="0" borderId="135" xfId="0" applyFont="1" applyBorder="1" applyAlignment="1">
      <alignment vertical="top" wrapText="1"/>
    </xf>
    <xf numFmtId="0" fontId="11" fillId="0" borderId="133" xfId="0" applyFont="1" applyBorder="1" applyAlignment="1">
      <alignment vertical="top" wrapText="1"/>
    </xf>
    <xf numFmtId="0" fontId="11" fillId="0" borderId="134" xfId="0" applyFont="1" applyBorder="1" applyAlignment="1">
      <alignment horizontal="left" vertical="center" wrapText="1" indent="2" readingOrder="1"/>
    </xf>
    <xf numFmtId="0" fontId="11" fillId="0" borderId="133" xfId="0" applyFont="1" applyBorder="1" applyAlignment="1">
      <alignment horizontal="left" vertical="center" wrapText="1" indent="2" readingOrder="1"/>
    </xf>
    <xf numFmtId="0" fontId="0" fillId="0" borderId="127" xfId="0" applyBorder="1" applyAlignment="1">
      <alignment horizontal="center" wrapText="1"/>
    </xf>
    <xf numFmtId="0" fontId="0" fillId="0" borderId="0" xfId="0" applyAlignment="1">
      <alignment horizontal="center" wrapText="1"/>
    </xf>
    <xf numFmtId="0" fontId="55" fillId="0" borderId="127" xfId="9" applyFont="1" applyBorder="1" applyAlignment="1">
      <alignment horizontal="center" vertical="center"/>
    </xf>
    <xf numFmtId="0" fontId="58" fillId="55" borderId="4" xfId="9" applyFont="1" applyFill="1" applyBorder="1" applyAlignment="1">
      <alignment horizontal="center" vertical="center"/>
    </xf>
    <xf numFmtId="0" fontId="58" fillId="55" borderId="5" xfId="9" applyFont="1" applyFill="1" applyBorder="1" applyAlignment="1">
      <alignment horizontal="center" vertical="center"/>
    </xf>
    <xf numFmtId="0" fontId="58" fillId="55" borderId="82" xfId="9" applyFont="1" applyFill="1" applyBorder="1" applyAlignment="1">
      <alignment horizontal="center" vertical="center"/>
    </xf>
    <xf numFmtId="0" fontId="58" fillId="55" borderId="40" xfId="9" applyFont="1" applyFill="1" applyBorder="1" applyAlignment="1">
      <alignment horizontal="center" vertical="center"/>
    </xf>
    <xf numFmtId="0" fontId="58" fillId="55" borderId="14" xfId="9" applyFont="1" applyFill="1" applyBorder="1" applyAlignment="1">
      <alignment horizontal="center" vertical="center"/>
    </xf>
    <xf numFmtId="0" fontId="58" fillId="55" borderId="15" xfId="9" applyFont="1" applyFill="1" applyBorder="1" applyAlignment="1">
      <alignment horizontal="center" vertical="center"/>
    </xf>
    <xf numFmtId="0" fontId="58" fillId="55" borderId="22" xfId="9" applyFont="1" applyFill="1" applyBorder="1" applyAlignment="1">
      <alignment horizontal="center" vertical="center"/>
    </xf>
    <xf numFmtId="0" fontId="6" fillId="56" borderId="169" xfId="0" applyFont="1" applyFill="1" applyBorder="1" applyAlignment="1">
      <alignment horizontal="left" vertical="center"/>
    </xf>
    <xf numFmtId="0" fontId="6" fillId="56" borderId="164" xfId="0" applyFont="1" applyFill="1" applyBorder="1" applyAlignment="1">
      <alignment horizontal="left" vertical="center"/>
    </xf>
    <xf numFmtId="0" fontId="6" fillId="0" borderId="82" xfId="0" applyFont="1" applyBorder="1" applyAlignment="1">
      <alignment horizontal="center"/>
    </xf>
    <xf numFmtId="0" fontId="6" fillId="0" borderId="2" xfId="0" applyFont="1" applyBorder="1" applyAlignment="1">
      <alignment horizontal="center"/>
    </xf>
    <xf numFmtId="0" fontId="6" fillId="0" borderId="9" xfId="0" applyFont="1" applyBorder="1" applyAlignment="1">
      <alignment horizontal="center"/>
    </xf>
    <xf numFmtId="0" fontId="6" fillId="0" borderId="40" xfId="0" applyFont="1" applyBorder="1" applyAlignment="1">
      <alignment horizontal="center"/>
    </xf>
    <xf numFmtId="0" fontId="6" fillId="0" borderId="92" xfId="0" applyFont="1" applyBorder="1" applyAlignment="1">
      <alignment horizontal="center"/>
    </xf>
    <xf numFmtId="0" fontId="6" fillId="0" borderId="94" xfId="0" applyFont="1" applyBorder="1" applyAlignment="1">
      <alignment horizontal="center"/>
    </xf>
    <xf numFmtId="0" fontId="6" fillId="0" borderId="35" xfId="0" applyFont="1" applyBorder="1" applyAlignment="1">
      <alignment horizontal="center"/>
    </xf>
    <xf numFmtId="0" fontId="11" fillId="56" borderId="169" xfId="0" applyFont="1" applyFill="1" applyBorder="1" applyAlignment="1">
      <alignment horizontal="left" vertical="center"/>
    </xf>
    <xf numFmtId="0" fontId="11" fillId="56" borderId="79" xfId="0" applyFont="1" applyFill="1" applyBorder="1" applyAlignment="1">
      <alignment horizontal="left" vertical="center"/>
    </xf>
    <xf numFmtId="0" fontId="11" fillId="56" borderId="30" xfId="0" applyFont="1" applyFill="1" applyBorder="1" applyAlignment="1">
      <alignment horizontal="left" vertical="center"/>
    </xf>
    <xf numFmtId="0" fontId="6" fillId="56" borderId="30" xfId="0" applyFont="1" applyFill="1" applyBorder="1" applyAlignment="1">
      <alignment horizontal="left" vertical="center"/>
    </xf>
    <xf numFmtId="0" fontId="6" fillId="56" borderId="93" xfId="0" applyFont="1" applyFill="1" applyBorder="1" applyAlignment="1">
      <alignment horizontal="left" vertical="center"/>
    </xf>
    <xf numFmtId="0" fontId="18" fillId="0" borderId="0" xfId="0" applyFont="1" applyAlignment="1">
      <alignment horizontal="left" wrapText="1"/>
    </xf>
    <xf numFmtId="0" fontId="18" fillId="56" borderId="99" xfId="0" applyFont="1" applyFill="1" applyBorder="1" applyAlignment="1">
      <alignment horizontal="center" vertical="center" wrapText="1"/>
    </xf>
    <xf numFmtId="0" fontId="6" fillId="56" borderId="101" xfId="0" applyFont="1" applyFill="1" applyBorder="1" applyAlignment="1">
      <alignment horizontal="center" vertical="center" textRotation="90" wrapText="1"/>
    </xf>
    <xf numFmtId="0" fontId="6" fillId="56" borderId="99" xfId="0" applyFont="1" applyFill="1" applyBorder="1" applyAlignment="1">
      <alignment horizontal="center" vertical="center" textRotation="90" wrapText="1"/>
    </xf>
    <xf numFmtId="0" fontId="18" fillId="56" borderId="38" xfId="0" applyFont="1" applyFill="1" applyBorder="1" applyAlignment="1">
      <alignment horizontal="center" vertical="center"/>
    </xf>
    <xf numFmtId="0" fontId="18" fillId="56" borderId="39" xfId="0" applyFont="1" applyFill="1" applyBorder="1" applyAlignment="1">
      <alignment horizontal="center" vertical="center"/>
    </xf>
    <xf numFmtId="0" fontId="50" fillId="55" borderId="81" xfId="0" applyFont="1" applyFill="1" applyBorder="1" applyAlignment="1">
      <alignment horizontal="center" vertical="center" textRotation="90"/>
    </xf>
    <xf numFmtId="0" fontId="7" fillId="55" borderId="81" xfId="0" applyFont="1" applyFill="1" applyBorder="1" applyAlignment="1">
      <alignment horizontal="center" vertical="center" textRotation="90"/>
    </xf>
    <xf numFmtId="0" fontId="7" fillId="55" borderId="30" xfId="0" applyFont="1" applyFill="1" applyBorder="1" applyAlignment="1">
      <alignment horizontal="center" vertical="center" textRotation="90"/>
    </xf>
    <xf numFmtId="0" fontId="7" fillId="55" borderId="79" xfId="0" applyFont="1" applyFill="1" applyBorder="1" applyAlignment="1">
      <alignment horizontal="center" vertical="center" textRotation="90" wrapText="1"/>
    </xf>
    <xf numFmtId="0" fontId="7" fillId="55" borderId="169" xfId="0" applyFont="1" applyFill="1" applyBorder="1" applyAlignment="1">
      <alignment horizontal="center" vertical="center" textRotation="90" wrapText="1"/>
    </xf>
    <xf numFmtId="0" fontId="6" fillId="55" borderId="169" xfId="0" applyFont="1" applyFill="1" applyBorder="1" applyAlignment="1">
      <alignment horizontal="center" vertical="center" textRotation="90" wrapText="1"/>
    </xf>
    <xf numFmtId="0" fontId="7" fillId="55" borderId="164" xfId="0" applyFont="1" applyFill="1" applyBorder="1" applyAlignment="1">
      <alignment horizontal="center" vertical="center" textRotation="90" wrapText="1"/>
    </xf>
    <xf numFmtId="0" fontId="7" fillId="55" borderId="7" xfId="0" applyFont="1" applyFill="1" applyBorder="1" applyAlignment="1">
      <alignment horizontal="center" vertical="center" textRotation="90" wrapText="1"/>
    </xf>
    <xf numFmtId="0" fontId="6" fillId="55" borderId="3" xfId="0" applyFont="1" applyFill="1" applyBorder="1" applyAlignment="1">
      <alignment horizontal="center" vertical="center" textRotation="90" wrapText="1"/>
    </xf>
    <xf numFmtId="0" fontId="6" fillId="55" borderId="129" xfId="0" applyFont="1" applyFill="1" applyBorder="1" applyAlignment="1">
      <alignment horizontal="center" vertical="center" textRotation="90" wrapText="1"/>
    </xf>
    <xf numFmtId="0" fontId="18" fillId="56" borderId="30" xfId="0" applyFont="1" applyFill="1" applyBorder="1" applyAlignment="1">
      <alignment horizontal="center" vertical="center"/>
    </xf>
    <xf numFmtId="0" fontId="18" fillId="56" borderId="101" xfId="0" applyFont="1" applyFill="1" applyBorder="1" applyAlignment="1">
      <alignment horizontal="center" vertical="center"/>
    </xf>
    <xf numFmtId="0" fontId="3" fillId="0" borderId="0" xfId="0" applyFont="1" applyAlignment="1">
      <alignment horizontal="center"/>
    </xf>
    <xf numFmtId="0" fontId="11" fillId="3" borderId="415" xfId="0" applyFont="1" applyFill="1" applyBorder="1" applyAlignment="1">
      <alignment horizontal="center" vertical="center" wrapText="1"/>
    </xf>
    <xf numFmtId="0" fontId="11" fillId="3" borderId="414" xfId="0" applyFont="1" applyFill="1" applyBorder="1" applyAlignment="1">
      <alignment horizontal="center" vertical="center" wrapText="1"/>
    </xf>
    <xf numFmtId="3" fontId="11" fillId="3" borderId="162" xfId="3" applyNumberFormat="1" applyFont="1" applyFill="1" applyBorder="1" applyAlignment="1">
      <alignment horizontal="center" vertical="center"/>
    </xf>
    <xf numFmtId="3" fontId="11" fillId="3" borderId="6" xfId="3" applyNumberFormat="1" applyFont="1" applyFill="1" applyBorder="1" applyAlignment="1">
      <alignment horizontal="center" vertical="center"/>
    </xf>
    <xf numFmtId="3" fontId="11" fillId="3" borderId="12" xfId="3" applyNumberFormat="1" applyFont="1" applyFill="1" applyBorder="1" applyAlignment="1">
      <alignment horizontal="center" vertical="center"/>
    </xf>
    <xf numFmtId="3" fontId="11" fillId="3" borderId="13" xfId="3" applyNumberFormat="1" applyFont="1" applyFill="1" applyBorder="1" applyAlignment="1">
      <alignment horizontal="center" vertical="center"/>
    </xf>
    <xf numFmtId="3" fontId="11" fillId="3" borderId="90" xfId="3" applyNumberFormat="1" applyFont="1" applyFill="1" applyBorder="1" applyAlignment="1">
      <alignment horizontal="center" vertical="center"/>
    </xf>
    <xf numFmtId="3" fontId="11" fillId="3" borderId="456" xfId="3" applyNumberFormat="1" applyFont="1" applyFill="1" applyBorder="1" applyAlignment="1">
      <alignment horizontal="center" vertical="center"/>
    </xf>
    <xf numFmtId="3" fontId="11" fillId="3" borderId="457" xfId="3" applyNumberFormat="1" applyFont="1" applyFill="1" applyBorder="1" applyAlignment="1">
      <alignment horizontal="center" vertical="center"/>
    </xf>
    <xf numFmtId="3" fontId="11" fillId="3" borderId="32" xfId="3" applyNumberFormat="1" applyFont="1" applyFill="1" applyBorder="1" applyAlignment="1">
      <alignment horizontal="center" vertical="center"/>
    </xf>
    <xf numFmtId="3" fontId="11" fillId="3" borderId="81" xfId="3" applyNumberFormat="1" applyFont="1" applyFill="1" applyBorder="1" applyAlignment="1">
      <alignment horizontal="center" vertical="center"/>
    </xf>
    <xf numFmtId="3" fontId="11" fillId="3" borderId="435" xfId="3" applyNumberFormat="1" applyFont="1" applyFill="1" applyBorder="1" applyAlignment="1">
      <alignment horizontal="center" vertical="center"/>
    </xf>
    <xf numFmtId="3" fontId="11" fillId="3" borderId="315" xfId="3" applyNumberFormat="1" applyFont="1" applyFill="1" applyBorder="1" applyAlignment="1">
      <alignment horizontal="center" vertical="center"/>
    </xf>
    <xf numFmtId="3" fontId="11" fillId="3" borderId="288" xfId="3" applyNumberFormat="1" applyFont="1" applyFill="1" applyBorder="1" applyAlignment="1">
      <alignment horizontal="center" vertical="center"/>
    </xf>
    <xf numFmtId="3" fontId="11" fillId="3" borderId="36" xfId="3" applyNumberFormat="1" applyFont="1" applyFill="1" applyBorder="1" applyAlignment="1">
      <alignment horizontal="center" vertical="center"/>
    </xf>
    <xf numFmtId="3" fontId="11" fillId="3" borderId="37" xfId="3" applyNumberFormat="1" applyFont="1" applyFill="1" applyBorder="1" applyAlignment="1">
      <alignment horizontal="center" vertical="center"/>
    </xf>
    <xf numFmtId="3" fontId="11" fillId="3" borderId="85" xfId="3" applyNumberFormat="1" applyFont="1" applyFill="1" applyBorder="1" applyAlignment="1">
      <alignment horizontal="center" vertical="center"/>
    </xf>
    <xf numFmtId="3" fontId="11" fillId="3" borderId="129" xfId="3" applyNumberFormat="1" applyFont="1" applyFill="1" applyBorder="1" applyAlignment="1">
      <alignment horizontal="center" vertical="center"/>
    </xf>
    <xf numFmtId="3" fontId="11" fillId="3" borderId="86" xfId="3" applyNumberFormat="1" applyFont="1" applyFill="1" applyBorder="1" applyAlignment="1">
      <alignment horizontal="center" vertical="center"/>
    </xf>
    <xf numFmtId="0" fontId="6" fillId="4" borderId="89" xfId="0" applyFont="1" applyFill="1" applyBorder="1" applyAlignment="1">
      <alignment horizontal="left" vertical="center"/>
    </xf>
    <xf numFmtId="0" fontId="6" fillId="4" borderId="19" xfId="0" applyFont="1" applyFill="1" applyBorder="1" applyAlignment="1">
      <alignment horizontal="left" vertical="center"/>
    </xf>
    <xf numFmtId="0" fontId="6" fillId="4" borderId="84" xfId="0" applyFont="1" applyFill="1" applyBorder="1" applyAlignment="1">
      <alignment horizontal="left" vertical="center"/>
    </xf>
    <xf numFmtId="0" fontId="6" fillId="4" borderId="89" xfId="0" applyFont="1" applyFill="1" applyBorder="1" applyAlignment="1">
      <alignment horizontal="center" vertical="center"/>
    </xf>
    <xf numFmtId="0" fontId="6" fillId="4" borderId="19" xfId="0" applyFont="1" applyFill="1" applyBorder="1" applyAlignment="1">
      <alignment horizontal="center" vertical="center"/>
    </xf>
    <xf numFmtId="0" fontId="6" fillId="4" borderId="84" xfId="0" applyFont="1" applyFill="1" applyBorder="1" applyAlignment="1">
      <alignment horizontal="center" vertical="center"/>
    </xf>
    <xf numFmtId="0" fontId="18" fillId="2" borderId="79" xfId="0" applyFont="1" applyFill="1" applyBorder="1" applyAlignment="1">
      <alignment horizontal="left" vertical="center"/>
    </xf>
    <xf numFmtId="0" fontId="57" fillId="0" borderId="169" xfId="0" applyFont="1" applyBorder="1" applyAlignment="1">
      <alignment horizontal="left" vertical="center"/>
    </xf>
    <xf numFmtId="0" fontId="18" fillId="2" borderId="5" xfId="0" applyFont="1" applyFill="1" applyBorder="1" applyAlignment="1">
      <alignment horizontal="center"/>
    </xf>
    <xf numFmtId="0" fontId="18" fillId="2" borderId="82" xfId="0" applyFont="1" applyFill="1" applyBorder="1" applyAlignment="1">
      <alignment horizontal="center"/>
    </xf>
    <xf numFmtId="0" fontId="18" fillId="2" borderId="14" xfId="0" applyFont="1" applyFill="1" applyBorder="1" applyAlignment="1">
      <alignment horizontal="center"/>
    </xf>
    <xf numFmtId="0" fontId="18" fillId="2" borderId="15" xfId="0" applyFont="1" applyFill="1" applyBorder="1" applyAlignment="1">
      <alignment horizontal="center"/>
    </xf>
    <xf numFmtId="0" fontId="18" fillId="2" borderId="22" xfId="0" applyFont="1" applyFill="1" applyBorder="1" applyAlignment="1">
      <alignment horizontal="center"/>
    </xf>
    <xf numFmtId="0" fontId="18" fillId="2" borderId="91" xfId="0" applyFont="1" applyFill="1" applyBorder="1" applyAlignment="1">
      <alignment horizontal="center"/>
    </xf>
    <xf numFmtId="0" fontId="18" fillId="2" borderId="31" xfId="0" applyFont="1" applyFill="1" applyBorder="1" applyAlignment="1">
      <alignment horizontal="center"/>
    </xf>
    <xf numFmtId="0" fontId="18" fillId="2" borderId="33" xfId="0" applyFont="1" applyFill="1" applyBorder="1" applyAlignment="1">
      <alignment horizontal="center"/>
    </xf>
    <xf numFmtId="9" fontId="6" fillId="0" borderId="0" xfId="3" applyFont="1" applyBorder="1" applyAlignment="1">
      <alignment horizontal="center"/>
    </xf>
    <xf numFmtId="9" fontId="6" fillId="0" borderId="30" xfId="3" applyFont="1" applyBorder="1" applyAlignment="1">
      <alignment horizontal="center"/>
    </xf>
    <xf numFmtId="9" fontId="6" fillId="0" borderId="85" xfId="3" applyFont="1" applyBorder="1" applyAlignment="1">
      <alignment horizontal="center"/>
    </xf>
    <xf numFmtId="9" fontId="6" fillId="0" borderId="37" xfId="3" applyFont="1" applyBorder="1" applyAlignment="1">
      <alignment horizontal="center"/>
    </xf>
    <xf numFmtId="0" fontId="11" fillId="3" borderId="444" xfId="0" applyFont="1" applyFill="1" applyBorder="1" applyAlignment="1">
      <alignment horizontal="center" vertical="center"/>
    </xf>
    <xf numFmtId="0" fontId="11" fillId="3" borderId="169" xfId="0" applyFont="1" applyFill="1" applyBorder="1" applyAlignment="1">
      <alignment horizontal="center" vertical="center"/>
    </xf>
    <xf numFmtId="0" fontId="11" fillId="3" borderId="323" xfId="0" applyFont="1" applyFill="1" applyBorder="1" applyAlignment="1">
      <alignment horizontal="center" vertical="center"/>
    </xf>
    <xf numFmtId="0" fontId="11" fillId="3" borderId="299" xfId="0" applyFont="1" applyFill="1" applyBorder="1" applyAlignment="1">
      <alignment horizontal="center" vertical="center"/>
    </xf>
    <xf numFmtId="0" fontId="6" fillId="0" borderId="169" xfId="0" applyFont="1" applyBorder="1" applyAlignment="1">
      <alignment horizontal="center" vertical="center"/>
    </xf>
    <xf numFmtId="0" fontId="6" fillId="0" borderId="299" xfId="0" applyFont="1" applyBorder="1" applyAlignment="1">
      <alignment horizontal="center" vertical="center"/>
    </xf>
    <xf numFmtId="0" fontId="18" fillId="2" borderId="20" xfId="0" applyFont="1" applyFill="1" applyBorder="1" applyAlignment="1">
      <alignment horizontal="center" vertical="center"/>
    </xf>
    <xf numFmtId="0" fontId="18" fillId="2" borderId="159" xfId="0" applyFont="1" applyFill="1" applyBorder="1" applyAlignment="1">
      <alignment horizontal="center" vertical="center"/>
    </xf>
    <xf numFmtId="0" fontId="18" fillId="2" borderId="43" xfId="0" applyFont="1" applyFill="1" applyBorder="1" applyAlignment="1">
      <alignment horizontal="center" vertical="center"/>
    </xf>
    <xf numFmtId="0" fontId="18" fillId="2" borderId="125" xfId="0" applyFont="1" applyFill="1" applyBorder="1" applyAlignment="1">
      <alignment horizontal="center" vertical="center"/>
    </xf>
    <xf numFmtId="3" fontId="26" fillId="59" borderId="15" xfId="0" applyNumberFormat="1" applyFont="1" applyFill="1" applyBorder="1" applyAlignment="1">
      <alignment horizontal="center" vertical="center" wrapText="1"/>
    </xf>
    <xf numFmtId="3" fontId="26" fillId="59" borderId="7" xfId="0" applyNumberFormat="1" applyFont="1" applyFill="1" applyBorder="1" applyAlignment="1">
      <alignment horizontal="center" vertical="center" wrapText="1"/>
    </xf>
    <xf numFmtId="9" fontId="6" fillId="0" borderId="129" xfId="3" applyFont="1" applyBorder="1" applyAlignment="1">
      <alignment horizontal="center"/>
    </xf>
    <xf numFmtId="3" fontId="26" fillId="59" borderId="32" xfId="0" applyNumberFormat="1" applyFont="1" applyFill="1" applyBorder="1" applyAlignment="1">
      <alignment horizontal="center" vertical="center" wrapText="1"/>
    </xf>
    <xf numFmtId="3" fontId="26" fillId="59" borderId="81" xfId="0" applyNumberFormat="1" applyFont="1" applyFill="1" applyBorder="1" applyAlignment="1">
      <alignment horizontal="center" vertical="center" wrapText="1"/>
    </xf>
    <xf numFmtId="0" fontId="18" fillId="2" borderId="129" xfId="0" applyFont="1" applyFill="1" applyBorder="1" applyAlignment="1">
      <alignment horizontal="center" vertical="center" wrapText="1"/>
    </xf>
    <xf numFmtId="0" fontId="18" fillId="2" borderId="37" xfId="0" applyFont="1" applyFill="1" applyBorder="1" applyAlignment="1">
      <alignment horizontal="center" vertical="center" wrapText="1"/>
    </xf>
    <xf numFmtId="0" fontId="18" fillId="2" borderId="85" xfId="0" applyFont="1" applyFill="1" applyBorder="1" applyAlignment="1">
      <alignment horizontal="center" vertical="center" wrapText="1"/>
    </xf>
    <xf numFmtId="0" fontId="18" fillId="2" borderId="86" xfId="0" applyFont="1" applyFill="1" applyBorder="1" applyAlignment="1">
      <alignment horizontal="center" vertical="center" wrapText="1"/>
    </xf>
    <xf numFmtId="0" fontId="18" fillId="2" borderId="36" xfId="0" applyFont="1" applyFill="1" applyBorder="1" applyAlignment="1">
      <alignment horizontal="center" vertical="center" wrapText="1"/>
    </xf>
    <xf numFmtId="0" fontId="18" fillId="2" borderId="7" xfId="0" applyFont="1" applyFill="1" applyBorder="1" applyAlignment="1">
      <alignment horizontal="center"/>
    </xf>
    <xf numFmtId="0" fontId="18" fillId="2" borderId="40" xfId="0" applyFont="1" applyFill="1" applyBorder="1" applyAlignment="1">
      <alignment horizontal="center"/>
    </xf>
    <xf numFmtId="0" fontId="18" fillId="2" borderId="4" xfId="0" applyFont="1" applyFill="1" applyBorder="1" applyAlignment="1">
      <alignment horizontal="center"/>
    </xf>
    <xf numFmtId="0" fontId="11" fillId="3" borderId="406" xfId="0" applyFont="1" applyFill="1" applyBorder="1" applyAlignment="1">
      <alignment horizontal="center" vertical="center"/>
    </xf>
    <xf numFmtId="0" fontId="11" fillId="3" borderId="410" xfId="0" applyFont="1" applyFill="1" applyBorder="1" applyAlignment="1">
      <alignment horizontal="center" vertical="center"/>
    </xf>
    <xf numFmtId="0" fontId="11" fillId="3" borderId="407" xfId="0" applyFont="1" applyFill="1" applyBorder="1" applyAlignment="1">
      <alignment horizontal="center" vertical="center"/>
    </xf>
    <xf numFmtId="0" fontId="11" fillId="3" borderId="431" xfId="0" applyFont="1" applyFill="1" applyBorder="1" applyAlignment="1">
      <alignment horizontal="center" vertical="center"/>
    </xf>
    <xf numFmtId="0" fontId="11" fillId="3" borderId="41" xfId="0" applyFont="1" applyFill="1" applyBorder="1" applyAlignment="1">
      <alignment horizontal="center" vertical="center"/>
    </xf>
    <xf numFmtId="0" fontId="11" fillId="3" borderId="21" xfId="0" applyFont="1" applyFill="1" applyBorder="1" applyAlignment="1">
      <alignment horizontal="center" vertical="center"/>
    </xf>
    <xf numFmtId="0" fontId="6" fillId="3" borderId="79" xfId="0" applyFont="1" applyFill="1" applyBorder="1" applyAlignment="1">
      <alignment horizontal="center" vertical="center"/>
    </xf>
    <xf numFmtId="0" fontId="6" fillId="3" borderId="41" xfId="0" applyFont="1" applyFill="1" applyBorder="1" applyAlignment="1">
      <alignment horizontal="center" vertical="center"/>
    </xf>
    <xf numFmtId="0" fontId="6" fillId="3" borderId="169" xfId="0" applyFont="1" applyFill="1" applyBorder="1" applyAlignment="1">
      <alignment horizontal="center" vertical="center"/>
    </xf>
    <xf numFmtId="0" fontId="6" fillId="3" borderId="299" xfId="0" applyFont="1" applyFill="1" applyBorder="1" applyAlignment="1">
      <alignment horizontal="center" vertical="center"/>
    </xf>
    <xf numFmtId="0" fontId="6" fillId="3" borderId="444" xfId="0" applyFont="1" applyFill="1" applyBorder="1" applyAlignment="1">
      <alignment horizontal="center" vertical="center"/>
    </xf>
    <xf numFmtId="0" fontId="6" fillId="3" borderId="79" xfId="0" applyFont="1" applyFill="1" applyBorder="1" applyAlignment="1">
      <alignment horizontal="center" vertical="center" wrapText="1"/>
    </xf>
    <xf numFmtId="0" fontId="6" fillId="3" borderId="41" xfId="0" applyFont="1" applyFill="1" applyBorder="1" applyAlignment="1">
      <alignment horizontal="center" vertical="center" wrapText="1"/>
    </xf>
    <xf numFmtId="0" fontId="6" fillId="3" borderId="169" xfId="0" applyFont="1" applyFill="1" applyBorder="1" applyAlignment="1">
      <alignment horizontal="center" vertical="center" wrapText="1"/>
    </xf>
    <xf numFmtId="0" fontId="6" fillId="3" borderId="299" xfId="0" applyFont="1" applyFill="1" applyBorder="1" applyAlignment="1">
      <alignment horizontal="center" vertical="center" wrapText="1"/>
    </xf>
    <xf numFmtId="3" fontId="26" fillId="59" borderId="14" xfId="0" applyNumberFormat="1" applyFont="1" applyFill="1" applyBorder="1" applyAlignment="1">
      <alignment horizontal="center" vertical="center" wrapText="1"/>
    </xf>
    <xf numFmtId="9" fontId="6" fillId="0" borderId="36" xfId="3" applyFont="1" applyBorder="1" applyAlignment="1">
      <alignment horizontal="center"/>
    </xf>
    <xf numFmtId="9" fontId="6" fillId="0" borderId="43" xfId="3" applyFont="1" applyBorder="1" applyAlignment="1">
      <alignment horizontal="center"/>
    </xf>
    <xf numFmtId="9" fontId="6" fillId="0" borderId="93" xfId="3" applyFont="1" applyBorder="1" applyAlignment="1">
      <alignment horizontal="center"/>
    </xf>
    <xf numFmtId="3" fontId="11" fillId="3" borderId="52" xfId="3" applyNumberFormat="1" applyFont="1" applyFill="1" applyBorder="1" applyAlignment="1">
      <alignment horizontal="center" vertical="center"/>
    </xf>
    <xf numFmtId="3" fontId="11" fillId="3" borderId="30" xfId="3" applyNumberFormat="1" applyFont="1" applyFill="1" applyBorder="1" applyAlignment="1">
      <alignment horizontal="center" vertical="center"/>
    </xf>
    <xf numFmtId="3" fontId="11" fillId="3" borderId="0" xfId="3" applyNumberFormat="1" applyFont="1" applyFill="1" applyBorder="1" applyAlignment="1">
      <alignment horizontal="center" vertical="center"/>
    </xf>
    <xf numFmtId="3" fontId="11" fillId="3" borderId="127" xfId="3" applyNumberFormat="1" applyFont="1" applyFill="1" applyBorder="1" applyAlignment="1">
      <alignment horizontal="center" vertical="center"/>
    </xf>
    <xf numFmtId="3" fontId="11" fillId="3" borderId="452" xfId="3" applyNumberFormat="1" applyFont="1" applyFill="1" applyBorder="1" applyAlignment="1">
      <alignment horizontal="center" vertical="center"/>
    </xf>
    <xf numFmtId="3" fontId="11" fillId="3" borderId="429" xfId="3" applyNumberFormat="1" applyFont="1" applyFill="1" applyBorder="1" applyAlignment="1">
      <alignment horizontal="center" vertical="center"/>
    </xf>
    <xf numFmtId="3" fontId="11" fillId="3" borderId="425" xfId="3" applyNumberFormat="1" applyFont="1" applyFill="1" applyBorder="1" applyAlignment="1">
      <alignment horizontal="center" vertical="center"/>
    </xf>
    <xf numFmtId="3" fontId="11" fillId="3" borderId="453" xfId="3" applyNumberFormat="1" applyFont="1" applyFill="1" applyBorder="1" applyAlignment="1">
      <alignment horizontal="center" vertical="center"/>
    </xf>
    <xf numFmtId="3" fontId="11" fillId="3" borderId="10" xfId="3" applyNumberFormat="1" applyFont="1" applyFill="1" applyBorder="1" applyAlignment="1">
      <alignment horizontal="center" vertical="center"/>
    </xf>
    <xf numFmtId="3" fontId="11" fillId="3" borderId="11" xfId="3" applyNumberFormat="1" applyFont="1" applyFill="1" applyBorder="1" applyAlignment="1">
      <alignment horizontal="center" vertical="center"/>
    </xf>
    <xf numFmtId="3" fontId="11" fillId="4" borderId="0" xfId="0" applyNumberFormat="1" applyFont="1" applyFill="1" applyAlignment="1">
      <alignment horizontal="center" vertical="center"/>
    </xf>
    <xf numFmtId="3" fontId="11" fillId="4" borderId="30" xfId="0" applyNumberFormat="1" applyFont="1" applyFill="1" applyBorder="1" applyAlignment="1">
      <alignment horizontal="center" vertical="center"/>
    </xf>
    <xf numFmtId="3" fontId="11" fillId="3" borderId="82" xfId="3" applyNumberFormat="1" applyFont="1" applyFill="1" applyBorder="1" applyAlignment="1">
      <alignment horizontal="center" vertical="center"/>
    </xf>
    <xf numFmtId="3" fontId="11" fillId="3" borderId="7" xfId="3" applyNumberFormat="1" applyFont="1" applyFill="1" applyBorder="1" applyAlignment="1">
      <alignment horizontal="center" vertical="center"/>
    </xf>
    <xf numFmtId="3" fontId="11" fillId="3" borderId="15" xfId="3" applyNumberFormat="1" applyFont="1" applyFill="1" applyBorder="1" applyAlignment="1">
      <alignment horizontal="center" vertical="center"/>
    </xf>
    <xf numFmtId="3" fontId="11" fillId="3" borderId="22" xfId="3" applyNumberFormat="1" applyFont="1" applyFill="1" applyBorder="1" applyAlignment="1">
      <alignment horizontal="center" vertical="center"/>
    </xf>
    <xf numFmtId="3" fontId="11" fillId="3" borderId="9" xfId="3" applyNumberFormat="1" applyFont="1" applyFill="1" applyBorder="1" applyAlignment="1">
      <alignment horizontal="center" vertical="center"/>
    </xf>
    <xf numFmtId="3" fontId="11" fillId="3" borderId="88" xfId="3" applyNumberFormat="1" applyFont="1" applyFill="1" applyBorder="1" applyAlignment="1">
      <alignment horizontal="center" vertical="center"/>
    </xf>
    <xf numFmtId="3" fontId="11" fillId="3" borderId="419" xfId="3" applyNumberFormat="1" applyFont="1" applyFill="1" applyBorder="1" applyAlignment="1">
      <alignment horizontal="center" vertical="center"/>
    </xf>
    <xf numFmtId="3" fontId="11" fillId="3" borderId="252" xfId="3" applyNumberFormat="1" applyFont="1" applyFill="1" applyBorder="1" applyAlignment="1">
      <alignment horizontal="center" vertical="center"/>
    </xf>
    <xf numFmtId="172" fontId="11" fillId="4" borderId="85" xfId="3" applyNumberFormat="1" applyFont="1" applyFill="1" applyBorder="1" applyAlignment="1">
      <alignment horizontal="center" vertical="center"/>
    </xf>
    <xf numFmtId="172" fontId="11" fillId="4" borderId="86" xfId="3" applyNumberFormat="1" applyFont="1" applyFill="1" applyBorder="1" applyAlignment="1">
      <alignment horizontal="center" vertical="center"/>
    </xf>
    <xf numFmtId="3" fontId="11" fillId="4" borderId="52" xfId="0" applyNumberFormat="1" applyFont="1" applyFill="1" applyBorder="1" applyAlignment="1">
      <alignment horizontal="center" vertical="center"/>
    </xf>
    <xf numFmtId="3" fontId="11" fillId="4" borderId="127" xfId="0" applyNumberFormat="1" applyFont="1" applyFill="1" applyBorder="1" applyAlignment="1">
      <alignment horizontal="center" vertical="center"/>
    </xf>
    <xf numFmtId="3" fontId="11" fillId="4" borderId="9" xfId="0" applyNumberFormat="1" applyFont="1" applyFill="1" applyBorder="1" applyAlignment="1">
      <alignment horizontal="center" vertical="center"/>
    </xf>
    <xf numFmtId="3" fontId="11" fillId="4" borderId="11" xfId="0" applyNumberFormat="1" applyFont="1" applyFill="1" applyBorder="1" applyAlignment="1">
      <alignment horizontal="center" vertical="center"/>
    </xf>
    <xf numFmtId="3" fontId="11" fillId="4" borderId="10" xfId="0" applyNumberFormat="1" applyFont="1" applyFill="1" applyBorder="1" applyAlignment="1">
      <alignment horizontal="center" vertical="center"/>
    </xf>
    <xf numFmtId="3" fontId="11" fillId="4" borderId="88" xfId="0" applyNumberFormat="1" applyFont="1" applyFill="1" applyBorder="1" applyAlignment="1">
      <alignment horizontal="center" vertical="center"/>
    </xf>
    <xf numFmtId="172" fontId="11" fillId="4" borderId="2" xfId="3" applyNumberFormat="1" applyFont="1" applyFill="1" applyBorder="1" applyAlignment="1">
      <alignment horizontal="center" vertical="center"/>
    </xf>
    <xf numFmtId="172" fontId="11" fillId="4" borderId="83" xfId="3" applyNumberFormat="1" applyFont="1" applyFill="1" applyBorder="1" applyAlignment="1">
      <alignment horizontal="center" vertical="center"/>
    </xf>
    <xf numFmtId="172" fontId="11" fillId="4" borderId="18" xfId="3" applyNumberFormat="1" applyFont="1" applyFill="1" applyBorder="1" applyAlignment="1">
      <alignment horizontal="center" vertical="center"/>
    </xf>
    <xf numFmtId="172" fontId="11" fillId="4" borderId="129" xfId="3" applyNumberFormat="1" applyFont="1" applyFill="1" applyBorder="1" applyAlignment="1">
      <alignment horizontal="center" vertical="center"/>
    </xf>
    <xf numFmtId="3" fontId="11" fillId="3" borderId="33" xfId="3" applyNumberFormat="1" applyFont="1" applyFill="1" applyBorder="1" applyAlignment="1">
      <alignment horizontal="center" vertical="center"/>
    </xf>
    <xf numFmtId="172" fontId="11" fillId="4" borderId="43" xfId="3" applyNumberFormat="1" applyFont="1" applyFill="1" applyBorder="1" applyAlignment="1">
      <alignment horizontal="center" vertical="center"/>
    </xf>
    <xf numFmtId="3" fontId="11" fillId="3" borderId="41" xfId="3" applyNumberFormat="1" applyFont="1" applyFill="1" applyBorder="1" applyAlignment="1">
      <alignment horizontal="center" vertical="center"/>
    </xf>
    <xf numFmtId="3" fontId="11" fillId="3" borderId="450" xfId="3" applyNumberFormat="1" applyFont="1" applyFill="1" applyBorder="1" applyAlignment="1">
      <alignment horizontal="center" vertical="center"/>
    </xf>
    <xf numFmtId="3" fontId="11" fillId="3" borderId="113" xfId="3" applyNumberFormat="1" applyFont="1" applyFill="1" applyBorder="1" applyAlignment="1">
      <alignment horizontal="center" vertical="center"/>
    </xf>
    <xf numFmtId="3" fontId="11" fillId="3" borderId="430" xfId="3" applyNumberFormat="1" applyFont="1" applyFill="1" applyBorder="1" applyAlignment="1">
      <alignment horizontal="center" vertical="center"/>
    </xf>
    <xf numFmtId="3" fontId="11" fillId="3" borderId="428" xfId="3" applyNumberFormat="1" applyFont="1" applyFill="1" applyBorder="1" applyAlignment="1">
      <alignment horizontal="center" vertical="center"/>
    </xf>
    <xf numFmtId="3" fontId="11" fillId="3" borderId="445" xfId="3" applyNumberFormat="1" applyFont="1" applyFill="1" applyBorder="1" applyAlignment="1">
      <alignment horizontal="center" vertical="center"/>
    </xf>
    <xf numFmtId="3" fontId="11" fillId="3" borderId="418" xfId="3" applyNumberFormat="1" applyFont="1" applyFill="1" applyBorder="1" applyAlignment="1">
      <alignment horizontal="center" vertical="center"/>
    </xf>
    <xf numFmtId="3" fontId="11" fillId="3" borderId="296" xfId="3" applyNumberFormat="1" applyFont="1" applyFill="1" applyBorder="1" applyAlignment="1">
      <alignment horizontal="center" vertical="center"/>
    </xf>
    <xf numFmtId="172" fontId="11" fillId="4" borderId="21" xfId="3" applyNumberFormat="1" applyFont="1" applyFill="1" applyBorder="1" applyAlignment="1">
      <alignment horizontal="center" vertical="center"/>
    </xf>
    <xf numFmtId="172" fontId="11" fillId="4" borderId="93" xfId="3" applyNumberFormat="1" applyFont="1" applyFill="1" applyBorder="1" applyAlignment="1">
      <alignment horizontal="center" vertical="center"/>
    </xf>
    <xf numFmtId="172" fontId="11" fillId="4" borderId="125" xfId="3" applyNumberFormat="1" applyFont="1" applyFill="1" applyBorder="1" applyAlignment="1">
      <alignment horizontal="center" vertical="center"/>
    </xf>
    <xf numFmtId="3" fontId="11" fillId="4" borderId="113" xfId="0" applyNumberFormat="1" applyFont="1" applyFill="1" applyBorder="1" applyAlignment="1">
      <alignment horizontal="center" vertical="center"/>
    </xf>
    <xf numFmtId="172" fontId="11" fillId="4" borderId="23" xfId="3" applyNumberFormat="1" applyFont="1" applyFill="1" applyBorder="1" applyAlignment="1">
      <alignment horizontal="center" vertical="center"/>
    </xf>
    <xf numFmtId="172" fontId="11" fillId="4" borderId="3" xfId="3" applyNumberFormat="1" applyFont="1" applyFill="1" applyBorder="1" applyAlignment="1">
      <alignment horizontal="center" vertical="center"/>
    </xf>
    <xf numFmtId="3" fontId="11" fillId="4" borderId="41" xfId="0" applyNumberFormat="1" applyFont="1" applyFill="1" applyBorder="1" applyAlignment="1">
      <alignment horizontal="center" vertical="center"/>
    </xf>
    <xf numFmtId="3" fontId="11" fillId="3" borderId="14" xfId="3" applyNumberFormat="1" applyFont="1" applyFill="1" applyBorder="1" applyAlignment="1">
      <alignment horizontal="center" vertical="center"/>
    </xf>
    <xf numFmtId="0" fontId="18" fillId="2" borderId="38" xfId="0" applyFont="1" applyFill="1" applyBorder="1" applyAlignment="1">
      <alignment horizontal="center" vertical="center"/>
    </xf>
    <xf numFmtId="0" fontId="18" fillId="2" borderId="104" xfId="0" applyFont="1" applyFill="1" applyBorder="1" applyAlignment="1">
      <alignment horizontal="center" vertical="center"/>
    </xf>
    <xf numFmtId="172" fontId="11" fillId="4" borderId="128" xfId="3" applyNumberFormat="1" applyFont="1" applyFill="1" applyBorder="1" applyAlignment="1">
      <alignment horizontal="center" vertical="center"/>
    </xf>
    <xf numFmtId="3" fontId="11" fillId="3" borderId="460" xfId="3" applyNumberFormat="1" applyFont="1" applyFill="1" applyBorder="1" applyAlignment="1">
      <alignment horizontal="center" vertical="center"/>
    </xf>
    <xf numFmtId="0" fontId="18" fillId="2" borderId="91" xfId="0" applyFont="1" applyFill="1" applyBorder="1" applyAlignment="1">
      <alignment horizontal="center" vertical="center"/>
    </xf>
    <xf numFmtId="0" fontId="18" fillId="2" borderId="81" xfId="0" applyFont="1" applyFill="1" applyBorder="1" applyAlignment="1">
      <alignment horizontal="center" vertical="center"/>
    </xf>
    <xf numFmtId="0" fontId="18" fillId="2" borderId="31" xfId="0" applyFont="1" applyFill="1" applyBorder="1" applyAlignment="1">
      <alignment horizontal="center" vertical="center"/>
    </xf>
    <xf numFmtId="0" fontId="18" fillId="2" borderId="32" xfId="0" applyFont="1" applyFill="1" applyBorder="1" applyAlignment="1">
      <alignment horizontal="center" vertical="center"/>
    </xf>
    <xf numFmtId="3" fontId="26" fillId="59" borderId="422" xfId="0" applyNumberFormat="1" applyFont="1" applyFill="1" applyBorder="1" applyAlignment="1">
      <alignment horizontal="center" vertical="center" wrapText="1"/>
    </xf>
    <xf numFmtId="3" fontId="26" fillId="59" borderId="403" xfId="0" applyNumberFormat="1" applyFont="1" applyFill="1" applyBorder="1" applyAlignment="1">
      <alignment horizontal="center" vertical="center" wrapText="1"/>
    </xf>
    <xf numFmtId="3" fontId="26" fillId="59" borderId="413" xfId="0" applyNumberFormat="1" applyFont="1" applyFill="1" applyBorder="1" applyAlignment="1">
      <alignment horizontal="center" vertical="center" wrapText="1"/>
    </xf>
    <xf numFmtId="9" fontId="6" fillId="0" borderId="422" xfId="3" applyFont="1" applyBorder="1" applyAlignment="1">
      <alignment horizontal="center"/>
    </xf>
    <xf numFmtId="9" fontId="6" fillId="0" borderId="403" xfId="3" applyFont="1" applyBorder="1" applyAlignment="1">
      <alignment horizontal="center"/>
    </xf>
    <xf numFmtId="9" fontId="6" fillId="0" borderId="413" xfId="3" applyFont="1" applyBorder="1" applyAlignment="1">
      <alignment horizontal="center"/>
    </xf>
    <xf numFmtId="3" fontId="11" fillId="3" borderId="413" xfId="3" applyNumberFormat="1" applyFont="1" applyFill="1" applyBorder="1" applyAlignment="1">
      <alignment horizontal="center" vertical="center"/>
    </xf>
    <xf numFmtId="3" fontId="11" fillId="3" borderId="403" xfId="3" applyNumberFormat="1" applyFont="1" applyFill="1" applyBorder="1" applyAlignment="1">
      <alignment horizontal="center" vertical="center"/>
    </xf>
    <xf numFmtId="3" fontId="11" fillId="3" borderId="442" xfId="3" applyNumberFormat="1" applyFont="1" applyFill="1" applyBorder="1" applyAlignment="1">
      <alignment horizontal="center" vertical="center"/>
    </xf>
    <xf numFmtId="3" fontId="11" fillId="3" borderId="416" xfId="3" applyNumberFormat="1" applyFont="1" applyFill="1" applyBorder="1" applyAlignment="1">
      <alignment horizontal="center" vertical="center"/>
    </xf>
    <xf numFmtId="3" fontId="11" fillId="3" borderId="438" xfId="3" applyNumberFormat="1" applyFont="1" applyFill="1" applyBorder="1" applyAlignment="1">
      <alignment horizontal="center" vertical="center"/>
    </xf>
    <xf numFmtId="3" fontId="26" fillId="3" borderId="15" xfId="0" applyNumberFormat="1" applyFont="1" applyFill="1" applyBorder="1" applyAlignment="1">
      <alignment horizontal="center" vertical="center" wrapText="1"/>
    </xf>
    <xf numFmtId="3" fontId="26" fillId="3" borderId="7" xfId="0" applyNumberFormat="1" applyFont="1" applyFill="1" applyBorder="1" applyAlignment="1">
      <alignment horizontal="center" vertical="center" wrapText="1"/>
    </xf>
    <xf numFmtId="3" fontId="26" fillId="3" borderId="32" xfId="0" applyNumberFormat="1" applyFont="1" applyFill="1" applyBorder="1" applyAlignment="1">
      <alignment horizontal="center" vertical="center" wrapText="1"/>
    </xf>
    <xf numFmtId="3" fontId="26" fillId="3" borderId="81" xfId="0" applyNumberFormat="1" applyFont="1" applyFill="1" applyBorder="1" applyAlignment="1">
      <alignment horizontal="center" vertical="center" wrapText="1"/>
    </xf>
    <xf numFmtId="9" fontId="6" fillId="0" borderId="36" xfId="3" applyFont="1" applyBorder="1" applyAlignment="1">
      <alignment horizontal="center" vertical="center"/>
    </xf>
    <xf numFmtId="9" fontId="6" fillId="0" borderId="37" xfId="3" applyFont="1" applyBorder="1" applyAlignment="1">
      <alignment horizontal="center" vertical="center"/>
    </xf>
    <xf numFmtId="9" fontId="6" fillId="0" borderId="85" xfId="3" applyFont="1" applyBorder="1" applyAlignment="1">
      <alignment horizontal="center" vertical="center"/>
    </xf>
    <xf numFmtId="3" fontId="11" fillId="3" borderId="505" xfId="3" applyNumberFormat="1" applyFont="1" applyFill="1" applyBorder="1" applyAlignment="1">
      <alignment horizontal="center" vertical="center"/>
    </xf>
    <xf numFmtId="3" fontId="11" fillId="3" borderId="483" xfId="3" applyNumberFormat="1" applyFont="1" applyFill="1" applyBorder="1" applyAlignment="1">
      <alignment horizontal="center" vertical="center"/>
    </xf>
    <xf numFmtId="3" fontId="11" fillId="3" borderId="451" xfId="3" applyNumberFormat="1" applyFont="1" applyFill="1" applyBorder="1" applyAlignment="1">
      <alignment horizontal="center" vertical="center"/>
    </xf>
    <xf numFmtId="3" fontId="11" fillId="3" borderId="388" xfId="3" applyNumberFormat="1" applyFont="1" applyFill="1" applyBorder="1" applyAlignment="1">
      <alignment horizontal="center" vertical="center"/>
    </xf>
    <xf numFmtId="3" fontId="11" fillId="3" borderId="394" xfId="3" applyNumberFormat="1" applyFont="1" applyFill="1" applyBorder="1" applyAlignment="1">
      <alignment horizontal="center" vertical="center"/>
    </xf>
    <xf numFmtId="3" fontId="11" fillId="3" borderId="395" xfId="3" applyNumberFormat="1" applyFont="1" applyFill="1" applyBorder="1" applyAlignment="1">
      <alignment horizontal="center" vertical="center"/>
    </xf>
    <xf numFmtId="3" fontId="11" fillId="3" borderId="458" xfId="3" applyNumberFormat="1" applyFont="1" applyFill="1" applyBorder="1" applyAlignment="1">
      <alignment horizontal="center" vertical="center"/>
    </xf>
    <xf numFmtId="172" fontId="11" fillId="4" borderId="36" xfId="3" applyNumberFormat="1" applyFont="1" applyFill="1" applyBorder="1" applyAlignment="1">
      <alignment horizontal="center" vertical="center"/>
    </xf>
    <xf numFmtId="172" fontId="11" fillId="4" borderId="37" xfId="3" applyNumberFormat="1" applyFont="1" applyFill="1" applyBorder="1" applyAlignment="1">
      <alignment horizontal="center" vertical="center"/>
    </xf>
    <xf numFmtId="3" fontId="11" fillId="3" borderId="455" xfId="3" applyNumberFormat="1" applyFont="1" applyFill="1" applyBorder="1" applyAlignment="1">
      <alignment horizontal="center" vertical="center"/>
    </xf>
    <xf numFmtId="0" fontId="6" fillId="0" borderId="404" xfId="0" applyFont="1" applyBorder="1" applyAlignment="1">
      <alignment horizontal="center" vertical="center"/>
    </xf>
    <xf numFmtId="0" fontId="11" fillId="3" borderId="405" xfId="0" applyFont="1" applyFill="1" applyBorder="1" applyAlignment="1">
      <alignment horizontal="center" vertical="center"/>
    </xf>
    <xf numFmtId="0" fontId="11" fillId="3" borderId="415" xfId="0" applyFont="1" applyFill="1" applyBorder="1" applyAlignment="1">
      <alignment horizontal="center" vertical="center"/>
    </xf>
    <xf numFmtId="0" fontId="11" fillId="3" borderId="414" xfId="0" applyFont="1" applyFill="1" applyBorder="1" applyAlignment="1">
      <alignment horizontal="center" vertical="center"/>
    </xf>
    <xf numFmtId="0" fontId="10" fillId="0" borderId="455" xfId="0" applyFont="1" applyBorder="1" applyAlignment="1">
      <alignment horizontal="center"/>
    </xf>
    <xf numFmtId="0" fontId="10" fillId="0" borderId="413" xfId="0" applyFont="1" applyBorder="1" applyAlignment="1">
      <alignment horizontal="center"/>
    </xf>
    <xf numFmtId="3" fontId="11" fillId="3" borderId="446" xfId="3" applyNumberFormat="1" applyFont="1" applyFill="1" applyBorder="1" applyAlignment="1">
      <alignment horizontal="center" vertical="center"/>
    </xf>
    <xf numFmtId="3" fontId="11" fillId="3" borderId="283" xfId="3" applyNumberFormat="1" applyFont="1" applyFill="1" applyBorder="1" applyAlignment="1">
      <alignment horizontal="center" vertical="center"/>
    </xf>
    <xf numFmtId="3" fontId="11" fillId="3" borderId="276" xfId="3" applyNumberFormat="1" applyFont="1" applyFill="1" applyBorder="1" applyAlignment="1">
      <alignment horizontal="center" vertical="center"/>
    </xf>
    <xf numFmtId="3" fontId="11" fillId="3" borderId="264" xfId="3" applyNumberFormat="1" applyFont="1" applyFill="1" applyBorder="1" applyAlignment="1">
      <alignment horizontal="center" vertical="center"/>
    </xf>
    <xf numFmtId="3" fontId="11" fillId="3" borderId="407" xfId="3" applyNumberFormat="1" applyFont="1" applyFill="1" applyBorder="1" applyAlignment="1">
      <alignment horizontal="center" vertical="center"/>
    </xf>
    <xf numFmtId="3" fontId="11" fillId="3" borderId="459" xfId="3" applyNumberFormat="1" applyFont="1" applyFill="1" applyBorder="1" applyAlignment="1">
      <alignment horizontal="center" vertical="center"/>
    </xf>
    <xf numFmtId="3" fontId="11" fillId="3" borderId="461" xfId="3" applyNumberFormat="1" applyFont="1" applyFill="1" applyBorder="1" applyAlignment="1">
      <alignment horizontal="center" vertical="center"/>
    </xf>
    <xf numFmtId="3" fontId="11" fillId="3" borderId="408" xfId="3" applyNumberFormat="1" applyFont="1" applyFill="1" applyBorder="1" applyAlignment="1">
      <alignment horizontal="center" vertical="center"/>
    </xf>
    <xf numFmtId="3" fontId="11" fillId="3" borderId="448" xfId="3" applyNumberFormat="1" applyFont="1" applyFill="1" applyBorder="1" applyAlignment="1">
      <alignment horizontal="center" vertical="center"/>
    </xf>
    <xf numFmtId="3" fontId="11" fillId="3" borderId="286" xfId="3" applyNumberFormat="1" applyFont="1" applyFill="1" applyBorder="1" applyAlignment="1">
      <alignment horizontal="center" vertical="center"/>
    </xf>
    <xf numFmtId="3" fontId="11" fillId="3" borderId="426" xfId="3" applyNumberFormat="1" applyFont="1" applyFill="1" applyBorder="1" applyAlignment="1">
      <alignment horizontal="center" vertical="center"/>
    </xf>
    <xf numFmtId="3" fontId="11" fillId="3" borderId="427" xfId="3" applyNumberFormat="1" applyFont="1" applyFill="1" applyBorder="1" applyAlignment="1">
      <alignment horizontal="center" vertical="center"/>
    </xf>
    <xf numFmtId="3" fontId="11" fillId="3" borderId="91" xfId="3" applyNumberFormat="1" applyFont="1" applyFill="1" applyBorder="1" applyAlignment="1">
      <alignment horizontal="center" vertical="center"/>
    </xf>
    <xf numFmtId="0" fontId="6" fillId="0" borderId="405" xfId="0" applyFont="1" applyBorder="1" applyAlignment="1">
      <alignment horizontal="center" vertical="center"/>
    </xf>
    <xf numFmtId="0" fontId="6" fillId="0" borderId="415" xfId="0" applyFont="1" applyBorder="1" applyAlignment="1">
      <alignment horizontal="center" vertical="center"/>
    </xf>
    <xf numFmtId="0" fontId="6" fillId="0" borderId="406" xfId="0" applyFont="1" applyBorder="1" applyAlignment="1">
      <alignment horizontal="center" vertical="center"/>
    </xf>
    <xf numFmtId="0" fontId="6" fillId="0" borderId="410" xfId="0" applyFont="1" applyBorder="1" applyAlignment="1">
      <alignment horizontal="center" vertical="center"/>
    </xf>
    <xf numFmtId="0" fontId="6" fillId="0" borderId="414" xfId="0" applyFont="1" applyBorder="1" applyAlignment="1">
      <alignment horizontal="center" vertical="center"/>
    </xf>
    <xf numFmtId="3" fontId="11" fillId="3" borderId="417" xfId="3" applyNumberFormat="1" applyFont="1" applyFill="1" applyBorder="1" applyAlignment="1">
      <alignment horizontal="center" vertical="center"/>
    </xf>
    <xf numFmtId="3" fontId="11" fillId="3" borderId="412" xfId="3" applyNumberFormat="1" applyFont="1" applyFill="1" applyBorder="1" applyAlignment="1">
      <alignment horizontal="center" vertical="center"/>
    </xf>
    <xf numFmtId="3" fontId="11" fillId="3" borderId="462" xfId="3" applyNumberFormat="1" applyFont="1" applyFill="1" applyBorder="1" applyAlignment="1">
      <alignment horizontal="center" vertical="center"/>
    </xf>
    <xf numFmtId="3" fontId="11" fillId="3" borderId="463" xfId="0" applyNumberFormat="1" applyFont="1" applyFill="1" applyBorder="1" applyAlignment="1">
      <alignment horizontal="center" vertical="center"/>
    </xf>
    <xf numFmtId="3" fontId="11" fillId="3" borderId="502" xfId="0" applyNumberFormat="1" applyFont="1" applyFill="1" applyBorder="1" applyAlignment="1">
      <alignment horizontal="center" vertical="center"/>
    </xf>
    <xf numFmtId="3" fontId="11" fillId="3" borderId="503" xfId="0" applyNumberFormat="1" applyFont="1" applyFill="1" applyBorder="1" applyAlignment="1">
      <alignment horizontal="center" vertical="center"/>
    </xf>
    <xf numFmtId="3" fontId="11" fillId="3" borderId="315" xfId="0" applyNumberFormat="1" applyFont="1" applyFill="1" applyBorder="1" applyAlignment="1">
      <alignment horizontal="center" vertical="center"/>
    </xf>
    <xf numFmtId="3" fontId="11" fillId="3" borderId="504" xfId="0" applyNumberFormat="1" applyFont="1" applyFill="1" applyBorder="1" applyAlignment="1">
      <alignment horizontal="center" vertical="center"/>
    </xf>
    <xf numFmtId="3" fontId="11" fillId="3" borderId="288" xfId="0" applyNumberFormat="1" applyFont="1" applyFill="1" applyBorder="1" applyAlignment="1">
      <alignment horizontal="center" vertical="center"/>
    </xf>
    <xf numFmtId="0" fontId="45" fillId="56" borderId="91" xfId="0" applyFont="1" applyFill="1" applyBorder="1" applyAlignment="1">
      <alignment horizontal="center" vertical="center"/>
    </xf>
    <xf numFmtId="0" fontId="46" fillId="56" borderId="31" xfId="0" applyFont="1" applyFill="1" applyBorder="1" applyAlignment="1">
      <alignment horizontal="center" vertical="center"/>
    </xf>
    <xf numFmtId="0" fontId="46" fillId="56" borderId="38" xfId="0" applyFont="1" applyFill="1" applyBorder="1" applyAlignment="1">
      <alignment horizontal="center" vertical="center"/>
    </xf>
    <xf numFmtId="0" fontId="61" fillId="55" borderId="14" xfId="0" applyFont="1" applyFill="1" applyBorder="1" applyAlignment="1">
      <alignment horizontal="center" vertical="center" wrapText="1"/>
    </xf>
    <xf numFmtId="0" fontId="61" fillId="55" borderId="7" xfId="0" applyFont="1" applyFill="1" applyBorder="1" applyAlignment="1">
      <alignment horizontal="center" vertical="center" wrapText="1"/>
    </xf>
    <xf numFmtId="0" fontId="61" fillId="55" borderId="82" xfId="0" applyFont="1" applyFill="1" applyBorder="1" applyAlignment="1">
      <alignment horizontal="center" vertical="center" wrapText="1"/>
    </xf>
    <xf numFmtId="0" fontId="61" fillId="55" borderId="15" xfId="0" applyFont="1" applyFill="1" applyBorder="1" applyAlignment="1">
      <alignment horizontal="center" vertical="center" wrapText="1"/>
    </xf>
    <xf numFmtId="0" fontId="61" fillId="55" borderId="120" xfId="0" applyFont="1" applyFill="1" applyBorder="1" applyAlignment="1">
      <alignment horizontal="center" vertical="center" wrapText="1"/>
    </xf>
    <xf numFmtId="0" fontId="61" fillId="55" borderId="121" xfId="0" applyFont="1" applyFill="1" applyBorder="1" applyAlignment="1">
      <alignment horizontal="center" vertical="center" wrapText="1"/>
    </xf>
    <xf numFmtId="0" fontId="61" fillId="55" borderId="114" xfId="0" applyFont="1" applyFill="1" applyBorder="1" applyAlignment="1">
      <alignment horizontal="center" vertical="center" wrapText="1"/>
    </xf>
    <xf numFmtId="0" fontId="61" fillId="55" borderId="25" xfId="0" applyFont="1" applyFill="1" applyBorder="1" applyAlignment="1">
      <alignment horizontal="center" vertical="center" wrapText="1"/>
    </xf>
    <xf numFmtId="0" fontId="45" fillId="56" borderId="20" xfId="0" applyFont="1" applyFill="1" applyBorder="1" applyAlignment="1">
      <alignment horizontal="center" vertical="center"/>
    </xf>
    <xf numFmtId="0" fontId="46" fillId="56" borderId="39" xfId="0" applyFont="1" applyFill="1" applyBorder="1" applyAlignment="1">
      <alignment horizontal="center" vertical="center"/>
    </xf>
    <xf numFmtId="0" fontId="61" fillId="55" borderId="24" xfId="0" applyFont="1" applyFill="1" applyBorder="1" applyAlignment="1">
      <alignment horizontal="center" vertical="center" wrapText="1"/>
    </xf>
    <xf numFmtId="0" fontId="61" fillId="55" borderId="116" xfId="0" applyFont="1" applyFill="1" applyBorder="1" applyAlignment="1">
      <alignment horizontal="center" vertical="center" wrapText="1"/>
    </xf>
    <xf numFmtId="0" fontId="18" fillId="2" borderId="114" xfId="0" applyFont="1" applyFill="1" applyBorder="1" applyAlignment="1">
      <alignment horizontal="center" vertical="center" wrapText="1"/>
    </xf>
    <xf numFmtId="0" fontId="18" fillId="2" borderId="25" xfId="0" applyFont="1" applyFill="1" applyBorder="1" applyAlignment="1">
      <alignment horizontal="center" vertical="center" wrapText="1"/>
    </xf>
    <xf numFmtId="0" fontId="11" fillId="0" borderId="0" xfId="4" applyFont="1" applyAlignment="1">
      <alignment vertical="top" wrapText="1"/>
    </xf>
    <xf numFmtId="0" fontId="6" fillId="0" borderId="0" xfId="0" applyFont="1" applyAlignment="1">
      <alignment vertical="top"/>
    </xf>
    <xf numFmtId="0" fontId="18" fillId="4" borderId="24" xfId="0" applyFont="1" applyFill="1" applyBorder="1" applyAlignment="1">
      <alignment horizontal="center" vertical="center" wrapText="1"/>
    </xf>
    <xf numFmtId="0" fontId="18" fillId="4" borderId="116" xfId="0" applyFont="1" applyFill="1" applyBorder="1" applyAlignment="1">
      <alignment horizontal="center" vertical="center" wrapText="1"/>
    </xf>
    <xf numFmtId="0" fontId="18" fillId="2" borderId="120" xfId="0" applyFont="1" applyFill="1" applyBorder="1" applyAlignment="1">
      <alignment horizontal="center" vertical="center" wrapText="1"/>
    </xf>
    <xf numFmtId="0" fontId="18" fillId="2" borderId="121" xfId="0" applyFont="1" applyFill="1" applyBorder="1" applyAlignment="1">
      <alignment horizontal="center" vertical="center" wrapText="1"/>
    </xf>
    <xf numFmtId="0" fontId="18" fillId="2" borderId="116" xfId="0" applyFont="1" applyFill="1" applyBorder="1" applyAlignment="1">
      <alignment horizontal="center" vertical="center" wrapText="1"/>
    </xf>
    <xf numFmtId="0" fontId="18" fillId="2" borderId="15" xfId="0" applyFont="1" applyFill="1" applyBorder="1" applyAlignment="1">
      <alignment horizontal="center" vertical="center" wrapText="1"/>
    </xf>
    <xf numFmtId="0" fontId="18" fillId="2" borderId="82"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45" fillId="0" borderId="20" xfId="0" applyFont="1" applyBorder="1" applyAlignment="1">
      <alignment horizontal="center" vertical="center"/>
    </xf>
    <xf numFmtId="0" fontId="46" fillId="0" borderId="38" xfId="0" applyFont="1" applyBorder="1" applyAlignment="1">
      <alignment horizontal="center" vertical="center"/>
    </xf>
    <xf numFmtId="0" fontId="46" fillId="0" borderId="39" xfId="0" applyFont="1" applyBorder="1" applyAlignment="1">
      <alignment horizontal="center" vertical="center"/>
    </xf>
    <xf numFmtId="0" fontId="61" fillId="55" borderId="22" xfId="0" applyFont="1" applyFill="1" applyBorder="1" applyAlignment="1">
      <alignment horizontal="center" vertical="center" wrapText="1"/>
    </xf>
    <xf numFmtId="0" fontId="6" fillId="55" borderId="79" xfId="0" applyFont="1" applyFill="1" applyBorder="1" applyAlignment="1">
      <alignment horizontal="left" vertical="center" wrapText="1"/>
    </xf>
    <xf numFmtId="0" fontId="6" fillId="55" borderId="169" xfId="0" applyFont="1" applyFill="1" applyBorder="1" applyAlignment="1">
      <alignment horizontal="left" vertical="center" wrapText="1"/>
    </xf>
    <xf numFmtId="0" fontId="6" fillId="55" borderId="164" xfId="0" applyFont="1" applyFill="1" applyBorder="1" applyAlignment="1">
      <alignment horizontal="left" vertical="center" wrapText="1"/>
    </xf>
    <xf numFmtId="0" fontId="40" fillId="56" borderId="168" xfId="0" applyFont="1" applyFill="1" applyBorder="1" applyAlignment="1">
      <alignment horizontal="center" vertical="center" textRotation="90"/>
    </xf>
    <xf numFmtId="170" fontId="6" fillId="3" borderId="3" xfId="0" applyNumberFormat="1" applyFont="1" applyFill="1" applyBorder="1" applyAlignment="1">
      <alignment horizontal="center" vertical="center"/>
    </xf>
    <xf numFmtId="0" fontId="40" fillId="56" borderId="79" xfId="0" applyFont="1" applyFill="1" applyBorder="1" applyAlignment="1">
      <alignment horizontal="center" vertical="center" textRotation="90"/>
    </xf>
    <xf numFmtId="0" fontId="40" fillId="56" borderId="169" xfId="0" applyFont="1" applyFill="1" applyBorder="1" applyAlignment="1">
      <alignment horizontal="center" vertical="center" textRotation="90"/>
    </xf>
    <xf numFmtId="0" fontId="40" fillId="56" borderId="91" xfId="0" applyFont="1" applyFill="1" applyBorder="1" applyAlignment="1">
      <alignment horizontal="center" vertical="center" textRotation="90"/>
    </xf>
    <xf numFmtId="0" fontId="40" fillId="56" borderId="41" xfId="0" applyFont="1" applyFill="1" applyBorder="1" applyAlignment="1">
      <alignment horizontal="center" vertical="center" textRotation="90"/>
    </xf>
    <xf numFmtId="0" fontId="40" fillId="56" borderId="21" xfId="0" applyFont="1" applyFill="1" applyBorder="1" applyAlignment="1">
      <alignment horizontal="center" vertical="center" textRotation="90"/>
    </xf>
    <xf numFmtId="0" fontId="40" fillId="56" borderId="164" xfId="0" applyFont="1" applyFill="1" applyBorder="1" applyAlignment="1">
      <alignment horizontal="center" vertical="center" textRotation="90"/>
    </xf>
    <xf numFmtId="0" fontId="11" fillId="56" borderId="95" xfId="0" applyFont="1" applyFill="1" applyBorder="1" applyAlignment="1">
      <alignment horizontal="left" vertical="center"/>
    </xf>
    <xf numFmtId="0" fontId="11" fillId="56" borderId="131" xfId="0" applyFont="1" applyFill="1" applyBorder="1" applyAlignment="1">
      <alignment horizontal="left" vertical="center"/>
    </xf>
    <xf numFmtId="0" fontId="11" fillId="56" borderId="130" xfId="0" applyFont="1" applyFill="1" applyBorder="1" applyAlignment="1">
      <alignment horizontal="left" vertical="center"/>
    </xf>
    <xf numFmtId="0" fontId="6" fillId="56" borderId="95" xfId="0" applyFont="1" applyFill="1" applyBorder="1" applyAlignment="1">
      <alignment horizontal="left" vertical="center"/>
    </xf>
    <xf numFmtId="0" fontId="6" fillId="56" borderId="131" xfId="0" applyFont="1" applyFill="1" applyBorder="1" applyAlignment="1">
      <alignment horizontal="left" vertical="center"/>
    </xf>
    <xf numFmtId="0" fontId="6" fillId="56" borderId="130" xfId="0" applyFont="1" applyFill="1" applyBorder="1" applyAlignment="1">
      <alignment horizontal="left" vertical="center"/>
    </xf>
    <xf numFmtId="0" fontId="0" fillId="56" borderId="131" xfId="0" applyFill="1" applyBorder="1" applyAlignment="1">
      <alignment horizontal="left" vertical="center"/>
    </xf>
    <xf numFmtId="0" fontId="0" fillId="56" borderId="130" xfId="0" applyFill="1" applyBorder="1" applyAlignment="1">
      <alignment horizontal="left" vertical="center"/>
    </xf>
    <xf numFmtId="172" fontId="153" fillId="0" borderId="23" xfId="0" applyNumberFormat="1" applyFont="1" applyBorder="1" applyAlignment="1">
      <alignment horizontal="center" vertical="center"/>
    </xf>
    <xf numFmtId="172" fontId="153" fillId="0" borderId="18" xfId="0" applyNumberFormat="1" applyFont="1" applyBorder="1" applyAlignment="1">
      <alignment horizontal="center" vertical="center"/>
    </xf>
    <xf numFmtId="172" fontId="153" fillId="0" borderId="83" xfId="0" applyNumberFormat="1" applyFont="1" applyBorder="1" applyAlignment="1">
      <alignment horizontal="center" vertical="center"/>
    </xf>
    <xf numFmtId="174" fontId="26" fillId="0" borderId="23" xfId="0" applyNumberFormat="1" applyFont="1" applyBorder="1" applyAlignment="1">
      <alignment horizontal="center" vertical="center"/>
    </xf>
    <xf numFmtId="174" fontId="26" fillId="0" borderId="18" xfId="0" applyNumberFormat="1" applyFont="1" applyBorder="1" applyAlignment="1">
      <alignment horizontal="center" vertical="center"/>
    </xf>
    <xf numFmtId="174" fontId="26" fillId="0" borderId="83" xfId="0" applyNumberFormat="1" applyFont="1" applyBorder="1" applyAlignment="1">
      <alignment horizontal="center" vertical="center"/>
    </xf>
    <xf numFmtId="170" fontId="6" fillId="0" borderId="14" xfId="0" applyNumberFormat="1" applyFont="1" applyBorder="1" applyAlignment="1">
      <alignment horizontal="center" vertical="center"/>
    </xf>
    <xf numFmtId="170" fontId="6" fillId="0" borderId="15" xfId="0" applyNumberFormat="1" applyFont="1" applyBorder="1" applyAlignment="1">
      <alignment horizontal="center" vertical="center"/>
    </xf>
    <xf numFmtId="170" fontId="6" fillId="0" borderId="22" xfId="0" applyNumberFormat="1" applyFont="1" applyBorder="1" applyAlignment="1">
      <alignment horizontal="center" vertical="center"/>
    </xf>
    <xf numFmtId="172" fontId="144" fillId="0" borderId="23" xfId="0" applyNumberFormat="1" applyFont="1" applyBorder="1" applyAlignment="1">
      <alignment horizontal="center" vertical="center"/>
    </xf>
    <xf numFmtId="172" fontId="144" fillId="0" borderId="18" xfId="0" applyNumberFormat="1" applyFont="1" applyBorder="1" applyAlignment="1">
      <alignment horizontal="center" vertical="center"/>
    </xf>
    <xf numFmtId="172" fontId="144" fillId="0" borderId="83" xfId="0" applyNumberFormat="1" applyFont="1" applyBorder="1" applyAlignment="1">
      <alignment horizontal="center" vertical="center"/>
    </xf>
    <xf numFmtId="170" fontId="6" fillId="0" borderId="23" xfId="0" applyNumberFormat="1" applyFont="1" applyBorder="1" applyAlignment="1">
      <alignment horizontal="center" vertical="center"/>
    </xf>
    <xf numFmtId="170" fontId="6" fillId="0" borderId="18" xfId="0" applyNumberFormat="1" applyFont="1" applyBorder="1" applyAlignment="1">
      <alignment horizontal="center" vertical="center"/>
    </xf>
    <xf numFmtId="170" fontId="6" fillId="0" borderId="83" xfId="0" applyNumberFormat="1" applyFont="1" applyBorder="1" applyAlignment="1">
      <alignment horizontal="center" vertical="center"/>
    </xf>
    <xf numFmtId="172" fontId="144" fillId="0" borderId="113" xfId="0" applyNumberFormat="1" applyFont="1" applyBorder="1" applyAlignment="1">
      <alignment horizontal="center" vertical="center"/>
    </xf>
    <xf numFmtId="172" fontId="144" fillId="0" borderId="10" xfId="0" applyNumberFormat="1" applyFont="1" applyBorder="1" applyAlignment="1">
      <alignment horizontal="center" vertical="center"/>
    </xf>
    <xf numFmtId="172" fontId="144" fillId="0" borderId="88" xfId="0" applyNumberFormat="1" applyFont="1" applyBorder="1" applyAlignment="1">
      <alignment horizontal="center" vertical="center"/>
    </xf>
    <xf numFmtId="172" fontId="144" fillId="3" borderId="23" xfId="0" applyNumberFormat="1" applyFont="1" applyFill="1" applyBorder="1" applyAlignment="1">
      <alignment horizontal="center" vertical="center"/>
    </xf>
    <xf numFmtId="172" fontId="144" fillId="3" borderId="18" xfId="0" applyNumberFormat="1" applyFont="1" applyFill="1" applyBorder="1" applyAlignment="1">
      <alignment horizontal="center" vertical="center"/>
    </xf>
    <xf numFmtId="172" fontId="144" fillId="3" borderId="83" xfId="0" applyNumberFormat="1" applyFont="1" applyFill="1" applyBorder="1" applyAlignment="1">
      <alignment horizontal="center" vertical="center"/>
    </xf>
    <xf numFmtId="174" fontId="6" fillId="3" borderId="23" xfId="0" applyNumberFormat="1" applyFont="1" applyFill="1" applyBorder="1" applyAlignment="1">
      <alignment horizontal="center" vertical="center"/>
    </xf>
    <xf numFmtId="174" fontId="6" fillId="3" borderId="18" xfId="0" applyNumberFormat="1" applyFont="1" applyFill="1" applyBorder="1" applyAlignment="1">
      <alignment horizontal="center" vertical="center"/>
    </xf>
    <xf numFmtId="174" fontId="6" fillId="3" borderId="83" xfId="0" applyNumberFormat="1" applyFont="1" applyFill="1" applyBorder="1" applyAlignment="1">
      <alignment horizontal="center" vertical="center"/>
    </xf>
    <xf numFmtId="172" fontId="153" fillId="0" borderId="36" xfId="0" applyNumberFormat="1" applyFont="1" applyBorder="1" applyAlignment="1">
      <alignment horizontal="center" vertical="center"/>
    </xf>
    <xf numFmtId="172" fontId="153" fillId="0" borderId="129" xfId="0" applyNumberFormat="1" applyFont="1" applyBorder="1" applyAlignment="1">
      <alignment horizontal="center" vertical="center"/>
    </xf>
    <xf numFmtId="172" fontId="153" fillId="0" borderId="86" xfId="0" applyNumberFormat="1" applyFont="1" applyBorder="1" applyAlignment="1">
      <alignment horizontal="center" vertical="center"/>
    </xf>
    <xf numFmtId="174" fontId="6" fillId="3" borderId="162" xfId="0" applyNumberFormat="1" applyFont="1" applyFill="1" applyBorder="1" applyAlignment="1">
      <alignment horizontal="center" vertical="center"/>
    </xf>
    <xf numFmtId="174" fontId="6" fillId="3" borderId="13" xfId="0" applyNumberFormat="1" applyFont="1" applyFill="1" applyBorder="1" applyAlignment="1">
      <alignment horizontal="center" vertical="center"/>
    </xf>
    <xf numFmtId="174" fontId="6" fillId="3" borderId="90" xfId="0" applyNumberFormat="1" applyFont="1" applyFill="1" applyBorder="1" applyAlignment="1">
      <alignment horizontal="center" vertical="center"/>
    </xf>
    <xf numFmtId="174" fontId="144" fillId="54" borderId="14" xfId="0" applyNumberFormat="1" applyFont="1" applyFill="1" applyBorder="1" applyAlignment="1">
      <alignment horizontal="center" vertical="center"/>
    </xf>
    <xf numFmtId="174" fontId="144" fillId="54" borderId="15" xfId="0" applyNumberFormat="1" applyFont="1" applyFill="1" applyBorder="1" applyAlignment="1">
      <alignment horizontal="center" vertical="center"/>
    </xf>
    <xf numFmtId="174" fontId="144" fillId="54" borderId="22" xfId="0" applyNumberFormat="1" applyFont="1" applyFill="1" applyBorder="1" applyAlignment="1">
      <alignment horizontal="center" vertical="center"/>
    </xf>
    <xf numFmtId="172" fontId="144" fillId="54" borderId="23" xfId="0" applyNumberFormat="1" applyFont="1" applyFill="1" applyBorder="1" applyAlignment="1">
      <alignment horizontal="center" vertical="center"/>
    </xf>
    <xf numFmtId="172" fontId="144" fillId="54" borderId="18" xfId="0" applyNumberFormat="1" applyFont="1" applyFill="1" applyBorder="1" applyAlignment="1">
      <alignment horizontal="center" vertical="center"/>
    </xf>
    <xf numFmtId="172" fontId="144" fillId="54" borderId="83" xfId="0" applyNumberFormat="1" applyFont="1" applyFill="1" applyBorder="1" applyAlignment="1">
      <alignment horizontal="center" vertical="center"/>
    </xf>
    <xf numFmtId="174" fontId="144" fillId="54" borderId="41" xfId="0" applyNumberFormat="1" applyFont="1" applyFill="1" applyBorder="1" applyAlignment="1">
      <alignment horizontal="center" vertical="center"/>
    </xf>
    <xf numFmtId="174" fontId="144" fillId="54" borderId="0" xfId="0" applyNumberFormat="1" applyFont="1" applyFill="1" applyAlignment="1">
      <alignment horizontal="center" vertical="center"/>
    </xf>
    <xf numFmtId="174" fontId="144" fillId="54" borderId="127" xfId="0" applyNumberFormat="1" applyFont="1" applyFill="1" applyBorder="1" applyAlignment="1">
      <alignment horizontal="center" vertical="center"/>
    </xf>
    <xf numFmtId="172" fontId="144" fillId="3" borderId="113" xfId="0" applyNumberFormat="1" applyFont="1" applyFill="1" applyBorder="1" applyAlignment="1">
      <alignment horizontal="center" vertical="center"/>
    </xf>
    <xf numFmtId="172" fontId="144" fillId="3" borderId="10" xfId="0" applyNumberFormat="1" applyFont="1" applyFill="1" applyBorder="1" applyAlignment="1">
      <alignment horizontal="center" vertical="center"/>
    </xf>
    <xf numFmtId="172" fontId="144" fillId="3" borderId="88" xfId="0" applyNumberFormat="1" applyFont="1" applyFill="1" applyBorder="1" applyAlignment="1">
      <alignment horizontal="center" vertical="center"/>
    </xf>
    <xf numFmtId="174" fontId="26" fillId="0" borderId="14" xfId="0" applyNumberFormat="1" applyFont="1" applyBorder="1" applyAlignment="1">
      <alignment horizontal="center" vertical="center"/>
    </xf>
    <xf numFmtId="174" fontId="26" fillId="0" borderId="15" xfId="0" applyNumberFormat="1" applyFont="1" applyBorder="1" applyAlignment="1">
      <alignment horizontal="center" vertical="center"/>
    </xf>
    <xf numFmtId="174" fontId="26" fillId="0" borderId="22" xfId="0" applyNumberFormat="1" applyFont="1" applyBorder="1" applyAlignment="1">
      <alignment horizontal="center" vertical="center"/>
    </xf>
    <xf numFmtId="0" fontId="43" fillId="0" borderId="0" xfId="0" applyFont="1" applyAlignment="1">
      <alignment wrapText="1"/>
    </xf>
    <xf numFmtId="0" fontId="39" fillId="0" borderId="0" xfId="0" applyFont="1" applyAlignment="1">
      <alignment wrapText="1"/>
    </xf>
    <xf numFmtId="174" fontId="6" fillId="3" borderId="14" xfId="0" applyNumberFormat="1" applyFont="1" applyFill="1" applyBorder="1" applyAlignment="1">
      <alignment horizontal="center" vertical="center"/>
    </xf>
    <xf numFmtId="174" fontId="6" fillId="3" borderId="15" xfId="0" applyNumberFormat="1" applyFont="1" applyFill="1" applyBorder="1" applyAlignment="1">
      <alignment horizontal="center" vertical="center"/>
    </xf>
    <xf numFmtId="174" fontId="6" fillId="3" borderId="22" xfId="0" applyNumberFormat="1" applyFont="1" applyFill="1" applyBorder="1" applyAlignment="1">
      <alignment horizontal="center" vertical="center"/>
    </xf>
    <xf numFmtId="174" fontId="26" fillId="0" borderId="162" xfId="0" applyNumberFormat="1" applyFont="1" applyBorder="1" applyAlignment="1">
      <alignment horizontal="center" vertical="center"/>
    </xf>
    <xf numFmtId="174" fontId="26" fillId="0" borderId="13" xfId="0" applyNumberFormat="1" applyFont="1" applyBorder="1" applyAlignment="1">
      <alignment horizontal="center" vertical="center"/>
    </xf>
    <xf numFmtId="174" fontId="26" fillId="0" borderId="90" xfId="0" applyNumberFormat="1" applyFont="1" applyBorder="1" applyAlignment="1">
      <alignment horizontal="center" vertical="center"/>
    </xf>
    <xf numFmtId="0" fontId="6" fillId="0" borderId="58" xfId="0" applyFont="1" applyBorder="1" applyAlignment="1">
      <alignment horizontal="center"/>
    </xf>
    <xf numFmtId="0" fontId="6" fillId="0" borderId="59" xfId="0" applyFont="1" applyBorder="1" applyAlignment="1">
      <alignment horizontal="center"/>
    </xf>
    <xf numFmtId="172" fontId="6" fillId="0" borderId="18" xfId="0" applyNumberFormat="1" applyFont="1" applyBorder="1" applyAlignment="1">
      <alignment horizontal="center" vertical="center"/>
    </xf>
    <xf numFmtId="172" fontId="6" fillId="0" borderId="61" xfId="0" applyNumberFormat="1" applyFont="1" applyBorder="1" applyAlignment="1">
      <alignment horizontal="center" vertical="center"/>
    </xf>
    <xf numFmtId="174" fontId="6" fillId="0" borderId="18" xfId="0" applyNumberFormat="1" applyFont="1" applyBorder="1" applyAlignment="1">
      <alignment horizontal="center"/>
    </xf>
    <xf numFmtId="174" fontId="6" fillId="0" borderId="61" xfId="0" applyNumberFormat="1" applyFont="1" applyBorder="1" applyAlignment="1">
      <alignment horizontal="center"/>
    </xf>
    <xf numFmtId="170" fontId="6" fillId="0" borderId="58" xfId="0" applyNumberFormat="1" applyFont="1" applyBorder="1" applyAlignment="1">
      <alignment horizontal="center" vertical="center"/>
    </xf>
    <xf numFmtId="0" fontId="158" fillId="0" borderId="223" xfId="0" applyFont="1" applyBorder="1" applyAlignment="1">
      <alignment horizontal="center" vertical="center" wrapText="1"/>
    </xf>
    <xf numFmtId="0" fontId="158" fillId="0" borderId="70" xfId="0" applyFont="1" applyBorder="1" applyAlignment="1">
      <alignment horizontal="center" vertical="center" wrapText="1"/>
    </xf>
    <xf numFmtId="0" fontId="158" fillId="0" borderId="57" xfId="0" applyFont="1" applyBorder="1" applyAlignment="1">
      <alignment horizontal="center" vertical="center" wrapText="1"/>
    </xf>
    <xf numFmtId="0" fontId="11" fillId="56" borderId="91" xfId="0" applyFont="1" applyFill="1" applyBorder="1" applyAlignment="1">
      <alignment horizontal="center" vertical="center" wrapText="1"/>
    </xf>
    <xf numFmtId="0" fontId="11" fillId="56" borderId="31" xfId="0" applyFont="1" applyFill="1" applyBorder="1" applyAlignment="1">
      <alignment horizontal="center" vertical="center" wrapText="1"/>
    </xf>
    <xf numFmtId="0" fontId="11" fillId="56" borderId="33" xfId="0" applyFont="1" applyFill="1" applyBorder="1" applyAlignment="1">
      <alignment horizontal="center" vertical="center" wrapText="1"/>
    </xf>
    <xf numFmtId="0" fontId="6" fillId="0" borderId="18" xfId="0" applyFont="1" applyBorder="1" applyAlignment="1">
      <alignment horizontal="center"/>
    </xf>
    <xf numFmtId="0" fontId="6" fillId="0" borderId="61" xfId="0" applyFont="1" applyBorder="1" applyAlignment="1">
      <alignment horizontal="center"/>
    </xf>
    <xf numFmtId="174" fontId="6" fillId="0" borderId="58" xfId="0" applyNumberFormat="1" applyFont="1" applyBorder="1" applyAlignment="1">
      <alignment horizontal="center"/>
    </xf>
    <xf numFmtId="174" fontId="6" fillId="0" borderId="59" xfId="0" applyNumberFormat="1" applyFont="1" applyBorder="1" applyAlignment="1">
      <alignment horizontal="center"/>
    </xf>
    <xf numFmtId="172" fontId="6" fillId="0" borderId="18" xfId="0" applyNumberFormat="1" applyFont="1" applyBorder="1" applyAlignment="1">
      <alignment horizontal="center"/>
    </xf>
    <xf numFmtId="172" fontId="6" fillId="0" borderId="61" xfId="0" applyNumberFormat="1" applyFont="1" applyBorder="1" applyAlignment="1">
      <alignment horizontal="center"/>
    </xf>
    <xf numFmtId="0" fontId="50" fillId="56" borderId="232" xfId="0" applyFont="1" applyFill="1" applyBorder="1" applyAlignment="1">
      <alignment horizontal="center" vertical="center" textRotation="90"/>
    </xf>
    <xf numFmtId="0" fontId="50" fillId="56" borderId="317" xfId="0" applyFont="1" applyFill="1" applyBorder="1" applyAlignment="1">
      <alignment horizontal="center" vertical="center" textRotation="90"/>
    </xf>
    <xf numFmtId="0" fontId="50" fillId="56" borderId="373" xfId="0" applyFont="1" applyFill="1" applyBorder="1" applyAlignment="1">
      <alignment horizontal="center" vertical="center" textRotation="90"/>
    </xf>
    <xf numFmtId="174" fontId="144" fillId="4" borderId="0" xfId="0" applyNumberFormat="1" applyFont="1" applyFill="1" applyAlignment="1">
      <alignment horizontal="center" vertical="center"/>
    </xf>
    <xf numFmtId="172" fontId="144" fillId="4" borderId="67" xfId="0" applyNumberFormat="1" applyFont="1" applyFill="1" applyBorder="1" applyAlignment="1">
      <alignment horizontal="center" vertical="center"/>
    </xf>
    <xf numFmtId="172" fontId="144" fillId="4" borderId="18" xfId="0" applyNumberFormat="1" applyFont="1" applyFill="1" applyBorder="1" applyAlignment="1">
      <alignment horizontal="center" vertical="center"/>
    </xf>
    <xf numFmtId="0" fontId="50" fillId="56" borderId="238" xfId="0" applyFont="1" applyFill="1" applyBorder="1" applyAlignment="1">
      <alignment horizontal="center" vertical="center" textRotation="90"/>
    </xf>
    <xf numFmtId="0" fontId="50" fillId="56" borderId="234" xfId="0" applyFont="1" applyFill="1" applyBorder="1" applyAlignment="1">
      <alignment horizontal="center" vertical="center" textRotation="90"/>
    </xf>
    <xf numFmtId="0" fontId="50" fillId="56" borderId="239" xfId="0" applyFont="1" applyFill="1" applyBorder="1" applyAlignment="1">
      <alignment horizontal="center" vertical="center" textRotation="90"/>
    </xf>
    <xf numFmtId="0" fontId="50" fillId="56" borderId="234" xfId="0" applyFont="1" applyFill="1" applyBorder="1" applyAlignment="1">
      <alignment horizontal="center" textRotation="90"/>
    </xf>
    <xf numFmtId="0" fontId="50" fillId="56" borderId="239" xfId="0" applyFont="1" applyFill="1" applyBorder="1" applyAlignment="1">
      <alignment horizontal="center" textRotation="90"/>
    </xf>
    <xf numFmtId="172" fontId="6" fillId="4" borderId="18" xfId="0" applyNumberFormat="1" applyFont="1" applyFill="1" applyBorder="1" applyAlignment="1">
      <alignment horizontal="center"/>
    </xf>
    <xf numFmtId="172" fontId="6" fillId="4" borderId="61" xfId="0" applyNumberFormat="1" applyFont="1" applyFill="1" applyBorder="1" applyAlignment="1">
      <alignment horizontal="center"/>
    </xf>
    <xf numFmtId="174" fontId="6" fillId="4" borderId="18" xfId="0" applyNumberFormat="1" applyFont="1" applyFill="1" applyBorder="1" applyAlignment="1">
      <alignment horizontal="center"/>
    </xf>
    <xf numFmtId="174" fontId="6" fillId="4" borderId="61" xfId="0" applyNumberFormat="1" applyFont="1" applyFill="1" applyBorder="1" applyAlignment="1">
      <alignment horizontal="center"/>
    </xf>
    <xf numFmtId="0" fontId="11" fillId="56" borderId="60" xfId="0" applyFont="1" applyFill="1" applyBorder="1" applyAlignment="1">
      <alignment horizontal="center" vertical="center" wrapText="1"/>
    </xf>
    <xf numFmtId="0" fontId="11" fillId="56" borderId="95" xfId="0" applyFont="1" applyFill="1" applyBorder="1" applyAlignment="1">
      <alignment horizontal="center" vertical="center" wrapText="1"/>
    </xf>
    <xf numFmtId="0" fontId="11" fillId="56" borderId="131" xfId="0" applyFont="1" applyFill="1" applyBorder="1" applyAlignment="1">
      <alignment horizontal="center" vertical="center" wrapText="1"/>
    </xf>
    <xf numFmtId="0" fontId="11" fillId="56" borderId="130" xfId="0" applyFont="1" applyFill="1" applyBorder="1" applyAlignment="1">
      <alignment horizontal="center" vertical="center" wrapText="1"/>
    </xf>
    <xf numFmtId="174" fontId="6" fillId="3" borderId="67" xfId="0" applyNumberFormat="1" applyFont="1" applyFill="1" applyBorder="1" applyAlignment="1">
      <alignment horizontal="center" vertical="center"/>
    </xf>
    <xf numFmtId="174" fontId="26" fillId="0" borderId="58" xfId="0" applyNumberFormat="1" applyFont="1" applyBorder="1" applyAlignment="1">
      <alignment horizontal="center" vertical="center"/>
    </xf>
    <xf numFmtId="172" fontId="153" fillId="0" borderId="67" xfId="0" applyNumberFormat="1" applyFont="1" applyBorder="1" applyAlignment="1">
      <alignment horizontal="center" vertical="center"/>
    </xf>
    <xf numFmtId="174" fontId="144" fillId="4" borderId="13" xfId="0" applyNumberFormat="1" applyFont="1" applyFill="1" applyBorder="1" applyAlignment="1">
      <alignment horizontal="center" vertical="center"/>
    </xf>
    <xf numFmtId="0" fontId="11" fillId="56" borderId="232" xfId="0" applyFont="1" applyFill="1" applyBorder="1" applyAlignment="1">
      <alignment horizontal="center" vertical="center" wrapText="1"/>
    </xf>
    <xf numFmtId="0" fontId="11" fillId="56" borderId="317" xfId="0" applyFont="1" applyFill="1" applyBorder="1" applyAlignment="1">
      <alignment horizontal="center" vertical="center" wrapText="1"/>
    </xf>
    <xf numFmtId="0" fontId="11" fillId="56" borderId="318" xfId="0" applyFont="1" applyFill="1" applyBorder="1" applyAlignment="1">
      <alignment horizontal="center" vertical="center" wrapText="1"/>
    </xf>
    <xf numFmtId="174" fontId="6" fillId="4" borderId="58" xfId="0" applyNumberFormat="1" applyFont="1" applyFill="1" applyBorder="1" applyAlignment="1">
      <alignment horizontal="center"/>
    </xf>
    <xf numFmtId="174" fontId="6" fillId="4" borderId="59" xfId="0" applyNumberFormat="1" applyFont="1" applyFill="1" applyBorder="1" applyAlignment="1">
      <alignment horizontal="center"/>
    </xf>
    <xf numFmtId="172" fontId="144" fillId="54" borderId="21" xfId="0" applyNumberFormat="1" applyFont="1" applyFill="1" applyBorder="1" applyAlignment="1">
      <alignment horizontal="center" vertical="center"/>
    </xf>
    <xf numFmtId="172" fontId="144" fillId="54" borderId="43" xfId="0" applyNumberFormat="1" applyFont="1" applyFill="1" applyBorder="1" applyAlignment="1">
      <alignment horizontal="center" vertical="center"/>
    </xf>
    <xf numFmtId="172" fontId="144" fillId="54" borderId="128" xfId="0" applyNumberFormat="1" applyFont="1" applyFill="1" applyBorder="1" applyAlignment="1">
      <alignment horizontal="center" vertical="center"/>
    </xf>
    <xf numFmtId="172" fontId="144" fillId="0" borderId="36" xfId="0" applyNumberFormat="1" applyFont="1" applyBorder="1" applyAlignment="1">
      <alignment horizontal="center" vertical="center"/>
    </xf>
    <xf numFmtId="172" fontId="144" fillId="0" borderId="129" xfId="0" applyNumberFormat="1" applyFont="1" applyBorder="1" applyAlignment="1">
      <alignment horizontal="center" vertical="center"/>
    </xf>
    <xf numFmtId="172" fontId="144" fillId="0" borderId="86" xfId="0" applyNumberFormat="1" applyFont="1" applyBorder="1" applyAlignment="1">
      <alignment horizontal="center" vertical="center"/>
    </xf>
    <xf numFmtId="172" fontId="153" fillId="0" borderId="68" xfId="0" applyNumberFormat="1" applyFont="1" applyBorder="1" applyAlignment="1">
      <alignment horizontal="center" vertical="center"/>
    </xf>
    <xf numFmtId="172" fontId="153" fillId="0" borderId="63" xfId="0" applyNumberFormat="1" applyFont="1" applyBorder="1" applyAlignment="1">
      <alignment horizontal="center" vertical="center"/>
    </xf>
    <xf numFmtId="172" fontId="153" fillId="0" borderId="113" xfId="0" applyNumberFormat="1" applyFont="1" applyBorder="1" applyAlignment="1">
      <alignment horizontal="center" vertical="center"/>
    </xf>
    <xf numFmtId="172" fontId="153" fillId="0" borderId="10" xfId="0" applyNumberFormat="1" applyFont="1" applyBorder="1" applyAlignment="1">
      <alignment horizontal="center" vertical="center"/>
    </xf>
    <xf numFmtId="172" fontId="153" fillId="0" borderId="88" xfId="0" applyNumberFormat="1" applyFont="1" applyBorder="1" applyAlignment="1">
      <alignment horizontal="center" vertical="center"/>
    </xf>
    <xf numFmtId="172" fontId="144" fillId="3" borderId="36" xfId="0" applyNumberFormat="1" applyFont="1" applyFill="1" applyBorder="1" applyAlignment="1">
      <alignment horizontal="center" vertical="center"/>
    </xf>
    <xf numFmtId="172" fontId="144" fillId="3" borderId="129" xfId="0" applyNumberFormat="1" applyFont="1" applyFill="1" applyBorder="1" applyAlignment="1">
      <alignment horizontal="center" vertical="center"/>
    </xf>
    <xf numFmtId="172" fontId="144" fillId="3" borderId="86" xfId="0" applyNumberFormat="1" applyFont="1" applyFill="1" applyBorder="1" applyAlignment="1">
      <alignment horizontal="center" vertical="center"/>
    </xf>
    <xf numFmtId="174" fontId="144" fillId="54" borderId="162" xfId="0" applyNumberFormat="1" applyFont="1" applyFill="1" applyBorder="1" applyAlignment="1">
      <alignment horizontal="center" vertical="center"/>
    </xf>
    <xf numFmtId="174" fontId="144" fillId="54" borderId="13" xfId="0" applyNumberFormat="1" applyFont="1" applyFill="1" applyBorder="1" applyAlignment="1">
      <alignment horizontal="center" vertical="center"/>
    </xf>
    <xf numFmtId="174" fontId="144" fillId="54" borderId="90" xfId="0" applyNumberFormat="1" applyFont="1" applyFill="1" applyBorder="1" applyAlignment="1">
      <alignment horizontal="center" vertical="center"/>
    </xf>
    <xf numFmtId="0" fontId="11" fillId="56" borderId="20" xfId="0" applyFont="1" applyFill="1" applyBorder="1" applyAlignment="1">
      <alignment horizontal="center" vertical="center" wrapText="1"/>
    </xf>
    <xf numFmtId="0" fontId="11" fillId="56" borderId="38" xfId="0" applyFont="1" applyFill="1" applyBorder="1" applyAlignment="1">
      <alignment horizontal="center" vertical="center" wrapText="1"/>
    </xf>
    <xf numFmtId="0" fontId="11" fillId="56" borderId="39" xfId="0" applyFont="1" applyFill="1" applyBorder="1" applyAlignment="1">
      <alignment horizontal="center" vertical="center" wrapText="1"/>
    </xf>
    <xf numFmtId="172" fontId="144" fillId="0" borderId="63" xfId="0" applyNumberFormat="1" applyFont="1" applyBorder="1" applyAlignment="1">
      <alignment horizontal="center" vertical="center"/>
    </xf>
    <xf numFmtId="172" fontId="144" fillId="3" borderId="68" xfId="0" applyNumberFormat="1" applyFont="1" applyFill="1" applyBorder="1" applyAlignment="1">
      <alignment horizontal="center" vertical="center"/>
    </xf>
    <xf numFmtId="172" fontId="144" fillId="3" borderId="63" xfId="0" applyNumberFormat="1" applyFont="1" applyFill="1" applyBorder="1" applyAlignment="1">
      <alignment horizontal="center" vertical="center"/>
    </xf>
    <xf numFmtId="172" fontId="144" fillId="4" borderId="62" xfId="0" applyNumberFormat="1" applyFont="1" applyFill="1" applyBorder="1" applyAlignment="1">
      <alignment horizontal="center" vertical="center"/>
    </xf>
    <xf numFmtId="172" fontId="144" fillId="4" borderId="72" xfId="0" applyNumberFormat="1" applyFont="1" applyFill="1" applyBorder="1" applyAlignment="1">
      <alignment horizontal="center" vertical="center"/>
    </xf>
    <xf numFmtId="0" fontId="50" fillId="56" borderId="101" xfId="0" applyFont="1" applyFill="1" applyBorder="1" applyAlignment="1">
      <alignment horizontal="center" vertical="center" textRotation="90" wrapText="1"/>
    </xf>
    <xf numFmtId="0" fontId="50" fillId="56" borderId="99" xfId="0" applyFont="1" applyFill="1" applyBorder="1" applyAlignment="1">
      <alignment horizontal="center" vertical="center" textRotation="90" wrapText="1"/>
    </xf>
    <xf numFmtId="0" fontId="50" fillId="56" borderId="97" xfId="0" applyFont="1" applyFill="1" applyBorder="1" applyAlignment="1">
      <alignment horizontal="center" vertical="center" textRotation="90" wrapText="1"/>
    </xf>
    <xf numFmtId="0" fontId="50" fillId="56" borderId="33" xfId="0" applyFont="1" applyFill="1" applyBorder="1" applyAlignment="1">
      <alignment horizontal="center" vertical="center" textRotation="90" wrapText="1"/>
    </xf>
    <xf numFmtId="0" fontId="50" fillId="56" borderId="127" xfId="0" applyFont="1" applyFill="1" applyBorder="1" applyAlignment="1">
      <alignment horizontal="center" vertical="center" textRotation="90" wrapText="1"/>
    </xf>
    <xf numFmtId="0" fontId="50" fillId="56" borderId="128" xfId="0" applyFont="1" applyFill="1" applyBorder="1" applyAlignment="1">
      <alignment horizontal="center" vertical="center" textRotation="90" wrapText="1"/>
    </xf>
    <xf numFmtId="0" fontId="11" fillId="55" borderId="30" xfId="0" applyFont="1" applyFill="1" applyBorder="1" applyAlignment="1">
      <alignment horizontal="left" vertical="center" wrapText="1"/>
    </xf>
    <xf numFmtId="0" fontId="11" fillId="55" borderId="6" xfId="0" applyFont="1" applyFill="1" applyBorder="1" applyAlignment="1">
      <alignment horizontal="left" vertical="center" wrapText="1"/>
    </xf>
    <xf numFmtId="0" fontId="11" fillId="55" borderId="11" xfId="0" applyFont="1" applyFill="1" applyBorder="1" applyAlignment="1">
      <alignment horizontal="left" vertical="center" wrapText="1"/>
    </xf>
    <xf numFmtId="0" fontId="11" fillId="55" borderId="93" xfId="0" applyFont="1" applyFill="1" applyBorder="1" applyAlignment="1">
      <alignment horizontal="left" vertical="center" wrapText="1"/>
    </xf>
    <xf numFmtId="0" fontId="11" fillId="55" borderId="81" xfId="0" applyFont="1" applyFill="1" applyBorder="1" applyAlignment="1">
      <alignment horizontal="left" vertical="center" wrapText="1"/>
    </xf>
    <xf numFmtId="0" fontId="11" fillId="55" borderId="79" xfId="0" applyFont="1" applyFill="1" applyBorder="1" applyAlignment="1">
      <alignment horizontal="center" vertical="center" wrapText="1"/>
    </xf>
    <xf numFmtId="0" fontId="11" fillId="55" borderId="169" xfId="0" applyFont="1" applyFill="1" applyBorder="1" applyAlignment="1">
      <alignment horizontal="center" vertical="center" wrapText="1"/>
    </xf>
    <xf numFmtId="0" fontId="11" fillId="55" borderId="89" xfId="0" applyFont="1" applyFill="1" applyBorder="1" applyAlignment="1">
      <alignment horizontal="center" vertical="center" wrapText="1"/>
    </xf>
    <xf numFmtId="0" fontId="6" fillId="56" borderId="101" xfId="0" applyFont="1" applyFill="1" applyBorder="1" applyAlignment="1">
      <alignment horizontal="center" vertical="center" textRotation="90"/>
    </xf>
    <xf numFmtId="0" fontId="6" fillId="56" borderId="99" xfId="0" applyFont="1" applyFill="1" applyBorder="1" applyAlignment="1">
      <alignment horizontal="center" vertical="center" textRotation="90"/>
    </xf>
    <xf numFmtId="0" fontId="6" fillId="56" borderId="97" xfId="0" applyFont="1" applyFill="1" applyBorder="1" applyAlignment="1">
      <alignment horizontal="center" vertical="center" textRotation="90"/>
    </xf>
    <xf numFmtId="0" fontId="140" fillId="3" borderId="52" xfId="0" applyFont="1" applyFill="1" applyBorder="1" applyAlignment="1">
      <alignment horizontal="left" vertical="center" wrapText="1"/>
    </xf>
    <xf numFmtId="0" fontId="140" fillId="3" borderId="0" xfId="0" applyFont="1" applyFill="1" applyAlignment="1">
      <alignment horizontal="left" vertical="center" wrapText="1"/>
    </xf>
    <xf numFmtId="0" fontId="140" fillId="3" borderId="9" xfId="0" applyFont="1" applyFill="1" applyBorder="1" applyAlignment="1">
      <alignment horizontal="left" vertical="center" wrapText="1"/>
    </xf>
    <xf numFmtId="0" fontId="140" fillId="3" borderId="10" xfId="0" applyFont="1" applyFill="1" applyBorder="1" applyAlignment="1">
      <alignment horizontal="left" vertical="center" wrapText="1"/>
    </xf>
    <xf numFmtId="0" fontId="11" fillId="56" borderId="52" xfId="0" applyFont="1" applyFill="1" applyBorder="1" applyAlignment="1">
      <alignment horizontal="center" vertical="center" textRotation="90"/>
    </xf>
    <xf numFmtId="0" fontId="11" fillId="56" borderId="125" xfId="0" applyFont="1" applyFill="1" applyBorder="1" applyAlignment="1">
      <alignment horizontal="center" vertical="center" textRotation="90"/>
    </xf>
    <xf numFmtId="0" fontId="6" fillId="56" borderId="32" xfId="0" applyFont="1" applyFill="1" applyBorder="1" applyAlignment="1">
      <alignment horizontal="center" vertical="center" textRotation="90"/>
    </xf>
    <xf numFmtId="0" fontId="6" fillId="56" borderId="52" xfId="0" applyFont="1" applyFill="1" applyBorder="1" applyAlignment="1">
      <alignment horizontal="center" vertical="center" textRotation="90"/>
    </xf>
    <xf numFmtId="0" fontId="6" fillId="56" borderId="125" xfId="0" applyFont="1" applyFill="1" applyBorder="1" applyAlignment="1">
      <alignment horizontal="center" vertical="center" textRotation="90"/>
    </xf>
    <xf numFmtId="0" fontId="11" fillId="67" borderId="169" xfId="0" applyFont="1" applyFill="1" applyBorder="1" applyAlignment="1">
      <alignment horizontal="left" vertical="center"/>
    </xf>
    <xf numFmtId="0" fontId="11" fillId="67" borderId="164" xfId="0" applyFont="1" applyFill="1" applyBorder="1" applyAlignment="1">
      <alignment horizontal="left" vertical="center"/>
    </xf>
    <xf numFmtId="0" fontId="11" fillId="67" borderId="95" xfId="0" applyFont="1" applyFill="1" applyBorder="1" applyAlignment="1">
      <alignment horizontal="left" vertical="center"/>
    </xf>
    <xf numFmtId="0" fontId="11" fillId="67" borderId="131" xfId="0" applyFont="1" applyFill="1" applyBorder="1" applyAlignment="1">
      <alignment horizontal="left" vertical="center"/>
    </xf>
    <xf numFmtId="0" fontId="11" fillId="67" borderId="130" xfId="0" applyFont="1" applyFill="1" applyBorder="1" applyAlignment="1">
      <alignment horizontal="left" vertical="center"/>
    </xf>
    <xf numFmtId="0" fontId="6" fillId="56" borderId="95" xfId="0" applyFont="1" applyFill="1" applyBorder="1" applyAlignment="1">
      <alignment horizontal="center" vertical="center"/>
    </xf>
    <xf numFmtId="0" fontId="6" fillId="56" borderId="131" xfId="0" applyFont="1" applyFill="1" applyBorder="1" applyAlignment="1">
      <alignment horizontal="center" vertical="center"/>
    </xf>
    <xf numFmtId="0" fontId="6" fillId="56" borderId="130" xfId="0" applyFont="1" applyFill="1" applyBorder="1" applyAlignment="1">
      <alignment horizontal="center" vertical="center"/>
    </xf>
    <xf numFmtId="0" fontId="0" fillId="3" borderId="128" xfId="0" applyFill="1" applyBorder="1" applyAlignment="1"/>
    <xf numFmtId="0" fontId="57" fillId="55" borderId="43" xfId="0" applyFont="1" applyFill="1" applyBorder="1" applyAlignment="1"/>
    <xf numFmtId="0" fontId="6" fillId="0" borderId="1" xfId="0" applyFont="1" applyBorder="1" applyAlignment="1"/>
    <xf numFmtId="0" fontId="6" fillId="0" borderId="2" xfId="0" applyFont="1" applyBorder="1" applyAlignment="1"/>
    <xf numFmtId="0" fontId="6" fillId="0" borderId="158" xfId="0" applyFont="1" applyBorder="1" applyAlignment="1"/>
    <xf numFmtId="0" fontId="6" fillId="0" borderId="157" xfId="0" applyFont="1" applyBorder="1" applyAlignment="1"/>
    <xf numFmtId="0" fontId="11" fillId="56" borderId="160" xfId="0" applyFont="1" applyFill="1" applyBorder="1" applyAlignment="1"/>
    <xf numFmtId="0" fontId="11" fillId="56" borderId="97" xfId="0" applyFont="1" applyFill="1" applyBorder="1" applyAlignment="1"/>
    <xf numFmtId="0" fontId="11" fillId="56" borderId="158" xfId="0" applyFont="1" applyFill="1" applyBorder="1" applyAlignment="1"/>
    <xf numFmtId="0" fontId="11" fillId="56" borderId="157" xfId="0" applyFont="1" applyFill="1" applyBorder="1" applyAlignment="1"/>
    <xf numFmtId="0" fontId="6" fillId="0" borderId="28" xfId="0" applyFont="1" applyBorder="1" applyAlignment="1"/>
    <xf numFmtId="0" fontId="6" fillId="0" borderId="42" xfId="0" applyFont="1" applyBorder="1" applyAlignment="1"/>
    <xf numFmtId="0" fontId="6" fillId="0" borderId="348" xfId="0" applyFont="1" applyBorder="1" applyAlignment="1"/>
    <xf numFmtId="0" fontId="6" fillId="0" borderId="384" xfId="0" applyFont="1" applyBorder="1" applyAlignment="1"/>
    <xf numFmtId="0" fontId="6" fillId="0" borderId="92" xfId="0" applyFont="1" applyBorder="1" applyAlignment="1"/>
    <xf numFmtId="0" fontId="6" fillId="0" borderId="382" xfId="0" applyFont="1" applyBorder="1" applyAlignment="1"/>
    <xf numFmtId="0" fontId="6" fillId="0" borderId="383" xfId="0" applyFont="1" applyBorder="1" applyAlignment="1"/>
    <xf numFmtId="0" fontId="6" fillId="0" borderId="29" xfId="0" applyFont="1" applyBorder="1" applyAlignment="1"/>
    <xf numFmtId="0" fontId="6" fillId="0" borderId="99" xfId="0" applyFont="1" applyBorder="1" applyAlignment="1"/>
    <xf numFmtId="0" fontId="6" fillId="0" borderId="380" xfId="0" applyFont="1" applyBorder="1" applyAlignment="1"/>
    <xf numFmtId="0" fontId="6" fillId="0" borderId="381" xfId="0" applyFont="1" applyBorder="1" applyAlignment="1"/>
    <xf numFmtId="0" fontId="6" fillId="0" borderId="8" xfId="0" applyFont="1" applyBorder="1" applyAlignment="1"/>
    <xf numFmtId="0" fontId="6" fillId="0" borderId="9" xfId="0" applyFont="1" applyBorder="1" applyAlignment="1"/>
    <xf numFmtId="0" fontId="6" fillId="0" borderId="94" xfId="0" applyFont="1" applyBorder="1" applyAlignment="1"/>
    <xf numFmtId="0" fontId="144" fillId="3" borderId="8" xfId="0" applyFont="1" applyFill="1" applyBorder="1" applyAlignment="1"/>
    <xf numFmtId="0" fontId="144" fillId="3" borderId="9" xfId="0" applyFont="1" applyFill="1" applyBorder="1" applyAlignment="1"/>
    <xf numFmtId="0" fontId="144" fillId="3" borderId="34" xfId="0" applyFont="1" applyFill="1" applyBorder="1" applyAlignment="1"/>
    <xf numFmtId="0" fontId="144" fillId="3" borderId="35" xfId="0" applyFont="1" applyFill="1" applyBorder="1" applyAlignment="1"/>
    <xf numFmtId="0" fontId="6" fillId="0" borderId="38" xfId="0" applyFont="1" applyBorder="1" applyAlignment="1"/>
    <xf numFmtId="0" fontId="6" fillId="0" borderId="43" xfId="0" applyFont="1" applyBorder="1" applyAlignment="1"/>
    <xf numFmtId="0" fontId="6" fillId="0" borderId="159" xfId="0" applyFont="1" applyBorder="1" applyAlignment="1"/>
    <xf numFmtId="0" fontId="6" fillId="0" borderId="5" xfId="0" applyFont="1" applyBorder="1" applyAlignment="1"/>
    <xf numFmtId="0" fontId="6" fillId="0" borderId="40" xfId="0" applyFont="1" applyBorder="1" applyAlignment="1"/>
    <xf numFmtId="0" fontId="6" fillId="0" borderId="12" xfId="0" applyFont="1" applyBorder="1" applyAlignment="1"/>
    <xf numFmtId="0" fontId="6" fillId="0" borderId="34" xfId="0" applyFont="1" applyBorder="1" applyAlignment="1"/>
    <xf numFmtId="0" fontId="6" fillId="0" borderId="35" xfId="0" applyFont="1" applyBorder="1" applyAlignment="1"/>
    <xf numFmtId="0" fontId="6" fillId="0" borderId="85" xfId="0" applyFont="1" applyBorder="1" applyAlignment="1"/>
    <xf numFmtId="0" fontId="29" fillId="0" borderId="0" xfId="0" applyFont="1" applyAlignment="1"/>
    <xf numFmtId="0" fontId="6" fillId="57" borderId="0" xfId="0" applyFont="1" applyFill="1" applyAlignment="1"/>
    <xf numFmtId="0" fontId="6" fillId="57" borderId="91" xfId="0" applyFont="1" applyFill="1" applyBorder="1" applyAlignment="1"/>
    <xf numFmtId="0" fontId="6" fillId="57" borderId="31" xfId="0" applyFont="1" applyFill="1" applyBorder="1" applyAlignment="1"/>
    <xf numFmtId="0" fontId="6" fillId="57" borderId="33" xfId="0" applyFont="1" applyFill="1" applyBorder="1" applyAlignment="1"/>
    <xf numFmtId="0" fontId="6" fillId="57" borderId="127" xfId="0" applyFont="1" applyFill="1" applyBorder="1" applyAlignment="1"/>
    <xf numFmtId="0" fontId="6" fillId="57" borderId="41" xfId="0" applyFont="1" applyFill="1" applyBorder="1" applyAlignment="1"/>
  </cellXfs>
  <cellStyles count="198">
    <cellStyle name="20% - Accent1" xfId="18" builtinId="30" customBuiltin="1"/>
    <cellStyle name="20% - Accent2" xfId="22" builtinId="34" customBuiltin="1"/>
    <cellStyle name="20% - Accent3" xfId="26" builtinId="38" customBuiltin="1"/>
    <cellStyle name="20% - Accent4" xfId="30" builtinId="42" customBuiltin="1"/>
    <cellStyle name="20% - Accent5" xfId="34" builtinId="46" customBuiltin="1"/>
    <cellStyle name="20% - Accent6" xfId="38" builtinId="50" customBuiltin="1"/>
    <cellStyle name="40% - Accent1" xfId="19" builtinId="31" customBuiltin="1"/>
    <cellStyle name="40% - Accent2" xfId="23" builtinId="35" customBuiltin="1"/>
    <cellStyle name="40% - Accent3" xfId="27" builtinId="39" customBuiltin="1"/>
    <cellStyle name="40% - Accent4" xfId="31" builtinId="43" customBuiltin="1"/>
    <cellStyle name="40% - Accent5" xfId="35" builtinId="47" customBuiltin="1"/>
    <cellStyle name="40% - Accent6" xfId="39" builtinId="51" customBuiltin="1"/>
    <cellStyle name="60% - Accent1" xfId="20" builtinId="32" customBuiltin="1"/>
    <cellStyle name="60% - Accent2" xfId="24" builtinId="36" customBuiltin="1"/>
    <cellStyle name="60% - Accent3" xfId="28" builtinId="40" customBuiltin="1"/>
    <cellStyle name="60% - Accent4" xfId="32" builtinId="44" customBuiltin="1"/>
    <cellStyle name="60% - Accent5" xfId="36" builtinId="48" customBuiltin="1"/>
    <cellStyle name="60% - Accent6" xfId="40" builtinId="52" customBuiltin="1"/>
    <cellStyle name="Accent1" xfId="17" builtinId="29" customBuiltin="1"/>
    <cellStyle name="Accent2" xfId="21" builtinId="33" customBuiltin="1"/>
    <cellStyle name="Accent3" xfId="25" builtinId="37" customBuiltin="1"/>
    <cellStyle name="Accent4" xfId="29" builtinId="41" customBuiltin="1"/>
    <cellStyle name="Accent5" xfId="33" builtinId="45" customBuiltin="1"/>
    <cellStyle name="Accent6" xfId="37" builtinId="49" customBuiltin="1"/>
    <cellStyle name="Bad" xfId="14" builtinId="27" customBuiltin="1"/>
    <cellStyle name="BlueSubtitle" xfId="71" xr:uid="{73D76A40-A103-4CD7-BBB6-B5244E23EC5B}"/>
    <cellStyle name="BoldText" xfId="72" xr:uid="{1F095DA1-8EF5-460F-9CF5-8CD04D3BE71F}"/>
    <cellStyle name="Calculation 2" xfId="54" xr:uid="{A587A3B4-1946-467E-9073-7B2E6B9A3227}"/>
    <cellStyle name="Calculation 3" xfId="53" xr:uid="{8E6D3DD7-565F-4603-9C89-4D1364773C4E}"/>
    <cellStyle name="Check Cell" xfId="16" builtinId="23" customBuiltin="1"/>
    <cellStyle name="ClickCurrency" xfId="73" xr:uid="{01DAFA00-B843-4509-BD20-F1422BF94E47}"/>
    <cellStyle name="ClickDate" xfId="74" xr:uid="{33FFADBC-D068-43C9-A8B5-85ABE5298343}"/>
    <cellStyle name="Comma" xfId="1" builtinId="3"/>
    <cellStyle name="Comma [0] 2" xfId="75" xr:uid="{98ECC927-2B16-484F-A937-9F9E67D8C412}"/>
    <cellStyle name="Comma [0] 2 2" xfId="150" xr:uid="{6D546D39-2C86-4B3B-B072-325959738A55}"/>
    <cellStyle name="Comma [0] 3" xfId="76" xr:uid="{838D39CD-56D7-4409-AB9D-C8844787FA67}"/>
    <cellStyle name="Comma [0] 3 2" xfId="151" xr:uid="{EA69A8CB-088A-4DE1-A0EC-0E86C0BD3CB5}"/>
    <cellStyle name="Comma 10" xfId="105" xr:uid="{163F2016-C185-432A-897A-42876C8AB983}"/>
    <cellStyle name="Comma 10 2" xfId="5" xr:uid="{0B68AFF9-9798-4A46-A22A-EC248A8F9CDA}"/>
    <cellStyle name="Comma 10 2 2" xfId="129" xr:uid="{52A41B2F-762B-4665-917C-CA95A4B9A0D0}"/>
    <cellStyle name="Comma 10 3" xfId="172" xr:uid="{6F968191-9E3F-4E1D-A531-88E046E56448}"/>
    <cellStyle name="Comma 11" xfId="110" xr:uid="{9C71AEFD-924E-4BCB-AD6C-6B84BAC36BDE}"/>
    <cellStyle name="Comma 11 2" xfId="177" xr:uid="{FC94B742-FED0-425E-8C95-0FD9D0683A17}"/>
    <cellStyle name="Comma 12" xfId="104" xr:uid="{C413E642-FEAB-4F17-80CE-ADD8F4914158}"/>
    <cellStyle name="Comma 12 2" xfId="171" xr:uid="{8B566DAE-2F01-4F52-8EE7-2B8451E73C67}"/>
    <cellStyle name="Comma 13" xfId="111" xr:uid="{5C03E884-15D7-46ED-9163-4080519F3B26}"/>
    <cellStyle name="Comma 13 2" xfId="178" xr:uid="{AE4EE342-5719-4FF9-94BA-9E3EDF120855}"/>
    <cellStyle name="Comma 14" xfId="103" xr:uid="{102AE337-D6EB-4957-8E98-83C94CB4D209}"/>
    <cellStyle name="Comma 14 2" xfId="170" xr:uid="{305B76B0-DF3F-418B-BE01-8DCFF207376D}"/>
    <cellStyle name="Comma 15" xfId="115" xr:uid="{536E3E4A-D0A3-45E6-8E41-FE91F24CAF5B}"/>
    <cellStyle name="Comma 15 2" xfId="182" xr:uid="{EC511D86-E1EB-4F90-9BBF-9049FC2F81FD}"/>
    <cellStyle name="Comma 16" xfId="106" xr:uid="{C4CC224D-8377-4C92-8DDC-1AD68A957442}"/>
    <cellStyle name="Comma 16 2" xfId="173" xr:uid="{CB058DE9-544C-4F50-9333-0EC50E238BA4}"/>
    <cellStyle name="Comma 17" xfId="116" xr:uid="{48520CCF-0F86-42C2-9EFA-39F8891B8523}"/>
    <cellStyle name="Comma 17 2" xfId="183" xr:uid="{26BC7BCD-90EB-4A93-B58B-1CDF430DA788}"/>
    <cellStyle name="Comma 18" xfId="101" xr:uid="{989C0D23-35AD-4AF6-8B97-04CF24FDFE2F}"/>
    <cellStyle name="Comma 18 2" xfId="168" xr:uid="{004901F5-23B8-43C0-A1B4-D0913CAD87E9}"/>
    <cellStyle name="Comma 19" xfId="107" xr:uid="{ED0C0FBB-1724-4B4E-B50D-5C73730FAA0D}"/>
    <cellStyle name="Comma 19 2" xfId="174" xr:uid="{ED1B7A84-311D-426C-A676-5FB8F6C6C6F9}"/>
    <cellStyle name="Comma 2" xfId="51" xr:uid="{986CB5D9-7D23-4EB2-85BC-A26D37FFED65}"/>
    <cellStyle name="Comma 2 2" xfId="68" xr:uid="{49B7FD0C-2EA2-4BE1-A01F-6EA02A9722E9}"/>
    <cellStyle name="Comma 2 2 2" xfId="146" xr:uid="{2A1995DA-0D9C-4060-B174-1831F4384325}"/>
    <cellStyle name="Comma 2 3" xfId="77" xr:uid="{68EC4898-1774-4BCA-AB7B-F2834AF69D08}"/>
    <cellStyle name="Comma 2 3 2" xfId="152" xr:uid="{9198460E-CADC-44A0-B215-7D77970D077E}"/>
    <cellStyle name="Comma 2 4" xfId="114" xr:uid="{E1D03BD5-B1E0-4124-AB28-37567FA29712}"/>
    <cellStyle name="Comma 2 4 2" xfId="181" xr:uid="{D6BCF4AA-CD7F-4D79-A62F-2D4EAC815976}"/>
    <cellStyle name="Comma 2 5" xfId="47" xr:uid="{6BDC9D86-AB1A-4523-9BC9-FBEDE1A40232}"/>
    <cellStyle name="Comma 2 5 2" xfId="135" xr:uid="{2D02F7EC-541A-42B9-B7C1-729B430D7581}"/>
    <cellStyle name="Comma 2 6" xfId="139" xr:uid="{58F02065-E185-43AD-A4CE-7C1FB09B5A32}"/>
    <cellStyle name="Comma 20" xfId="100" xr:uid="{B13A6702-DDBC-4FE3-8ECB-918533667D35}"/>
    <cellStyle name="Comma 20 2" xfId="167" xr:uid="{668EDA37-F971-477F-B204-C69970848BAF}"/>
    <cellStyle name="Comma 21" xfId="108" xr:uid="{B5D95AFE-B9B3-4955-9C78-C752C5AC575C}"/>
    <cellStyle name="Comma 21 2" xfId="175" xr:uid="{1E0597AA-8EFB-4A36-B701-F08AC79AEE21}"/>
    <cellStyle name="Comma 22" xfId="99" xr:uid="{F64DBBBE-D434-46D9-B1DD-8C5A88378E63}"/>
    <cellStyle name="Comma 22 2" xfId="166" xr:uid="{435C25AE-1EC8-49C3-AAEC-EAD7E6BCB512}"/>
    <cellStyle name="Comma 23" xfId="109" xr:uid="{0BAF0B6E-7FFE-47DB-8E1E-F08CB9C8C355}"/>
    <cellStyle name="Comma 23 2" xfId="176" xr:uid="{ABF424A8-43CD-494D-B6AA-278645AD6DA5}"/>
    <cellStyle name="Comma 24" xfId="121" xr:uid="{DB4B61C4-EBC1-44DE-8BD5-F82BF1C17170}"/>
    <cellStyle name="Comma 24 2" xfId="186" xr:uid="{0FF2D08C-209A-4188-B088-631A89A74967}"/>
    <cellStyle name="Comma 25" xfId="112" xr:uid="{A10A5D9E-80B0-4005-95E0-19999397120D}"/>
    <cellStyle name="Comma 25 2" xfId="179" xr:uid="{89508D8E-146B-4B7B-93CB-B9E04656C65A}"/>
    <cellStyle name="Comma 26" xfId="122" xr:uid="{32F53047-C40F-46E0-863D-F048BAFB2591}"/>
    <cellStyle name="Comma 26 2" xfId="187" xr:uid="{57EDF896-860D-45EB-B8FC-07B26677F857}"/>
    <cellStyle name="Comma 27" xfId="117" xr:uid="{B82FB019-3934-4A03-8F6B-D2F40D578EA5}"/>
    <cellStyle name="Comma 27 2" xfId="184" xr:uid="{4EC77264-AF06-4B0A-BBDD-B96D887D3C86}"/>
    <cellStyle name="Comma 28" xfId="123" xr:uid="{23A5CF35-A7F8-4423-8A13-D4F893E4AD2E}"/>
    <cellStyle name="Comma 28 2" xfId="188" xr:uid="{2464EB08-4D71-4810-8013-B1DDCF6049A2}"/>
    <cellStyle name="Comma 29" xfId="118" xr:uid="{21A67D7F-467B-48E3-AB87-7E2913C91926}"/>
    <cellStyle name="Comma 29 2" xfId="185" xr:uid="{D67C9969-8301-4F7A-AFFC-F78B286AD2AE}"/>
    <cellStyle name="Comma 3" xfId="55" xr:uid="{0E09FF2A-9D2D-456D-A82C-1B342C8843A8}"/>
    <cellStyle name="Comma 3 2" xfId="69" xr:uid="{43A57304-176E-4A5B-81C6-9B9BDFFEFD7F}"/>
    <cellStyle name="Comma 3 2 2" xfId="147" xr:uid="{8A2E1880-272E-4A57-847C-A3AA84B28CF1}"/>
    <cellStyle name="Comma 3 3" xfId="78" xr:uid="{62A737B5-F8BB-4A6F-9B2A-D90052F50566}"/>
    <cellStyle name="Comma 3 3 2" xfId="153" xr:uid="{5753B8A5-87B6-4E57-BF17-D9E126CB5220}"/>
    <cellStyle name="Comma 3 4" xfId="140" xr:uid="{FE8AE271-62E9-4BDF-B435-4388A8765146}"/>
    <cellStyle name="Comma 30" xfId="102" xr:uid="{23F38DB4-40AE-4DD9-8197-4F7D907A7652}"/>
    <cellStyle name="Comma 30 2" xfId="169" xr:uid="{BCE96D27-5CFD-4463-B085-A582AF149960}"/>
    <cellStyle name="Comma 31" xfId="45" xr:uid="{347FB6BD-7160-4EB4-BCF8-D03D122447DF}"/>
    <cellStyle name="Comma 31 2" xfId="134" xr:uid="{5426EBA2-FD0C-49A1-BAF2-9660C3358BE6}"/>
    <cellStyle name="Comma 32" xfId="48" xr:uid="{1395A674-9D18-43F4-8D67-08ED650754BC}"/>
    <cellStyle name="Comma 32 2" xfId="136" xr:uid="{D319634F-4425-4E2B-99F5-E55DDBDAB8D8}"/>
    <cellStyle name="Comma 33" xfId="125" xr:uid="{A4779E44-7F77-451F-80FE-1DB0D2F4F80E}"/>
    <cellStyle name="Comma 33 2" xfId="190" xr:uid="{F59D87A7-88D5-46D4-AC86-88C000443A79}"/>
    <cellStyle name="Comma 34" xfId="124" xr:uid="{74092D97-2CF9-4825-8987-F172C7A6EDDB}"/>
    <cellStyle name="Comma 34 2" xfId="189" xr:uid="{26E84C41-F794-4C0F-987B-84D8CB7C5FB7}"/>
    <cellStyle name="Comma 35" xfId="126" xr:uid="{DF873750-9BB3-4E6F-B7A0-389538DC75AC}"/>
    <cellStyle name="Comma 35 2" xfId="191" xr:uid="{B4400F5D-D4F2-419C-91A7-7932537E116C}"/>
    <cellStyle name="Comma 36" xfId="49" xr:uid="{397E09FC-5817-4063-B561-0A112EDE4131}"/>
    <cellStyle name="Comma 36 2" xfId="137" xr:uid="{3A8A3D5E-745C-48FD-955C-DD6196892F94}"/>
    <cellStyle name="Comma 37" xfId="127" xr:uid="{527CCE13-23E4-445F-8511-9E9E12985799}"/>
    <cellStyle name="Comma 38" xfId="161" xr:uid="{4C929A85-0083-4A60-8785-D8B57BE8CD8C}"/>
    <cellStyle name="Comma 39" xfId="133" xr:uid="{F00725D3-D14D-4AF8-806D-C7D093C56370}"/>
    <cellStyle name="Comma 4" xfId="50" xr:uid="{874E3693-E342-4C5C-9624-0D947928C4F0}"/>
    <cellStyle name="Comma 4 2" xfId="138" xr:uid="{3E941A5A-1D5F-476D-AD38-E3CC827E2646}"/>
    <cellStyle name="Comma 40" xfId="141" xr:uid="{3D5718E6-F8B3-4509-A8CE-565743D5E081}"/>
    <cellStyle name="Comma 41" xfId="193" xr:uid="{F520E111-AFA9-4E56-9656-41550C4D0048}"/>
    <cellStyle name="Comma 42" xfId="130" xr:uid="{FE750455-A5A4-4591-9F80-86DD149C1F06}"/>
    <cellStyle name="Comma 43" xfId="143" xr:uid="{20996116-4013-4AD3-B7A4-2E44CCC3BA3F}"/>
    <cellStyle name="Comma 44" xfId="132" xr:uid="{C4FF376B-FEA8-4A09-8A7C-38FB9075AE7C}"/>
    <cellStyle name="Comma 45" xfId="192" xr:uid="{6ECBA7A9-AA23-4E88-9BBE-60DD4D5501B3}"/>
    <cellStyle name="Comma 5" xfId="67" xr:uid="{96054CF9-4958-4D49-AA0C-C8C90F426328}"/>
    <cellStyle name="Comma 5 2" xfId="145" xr:uid="{06623315-6E73-4340-A74D-DFC8B180DE59}"/>
    <cellStyle name="Comma 6" xfId="79" xr:uid="{A5437FB2-9733-4620-A401-1558F20F118F}"/>
    <cellStyle name="Comma 6 2" xfId="154" xr:uid="{1E933AC2-6B65-4199-BFDB-054E04B6A9E2}"/>
    <cellStyle name="Comma 7" xfId="95" xr:uid="{0B4A2A80-DD23-4B6C-A14A-94FA92C04DE6}"/>
    <cellStyle name="Comma 7 2" xfId="162" xr:uid="{702CA9D1-D8A0-4BF8-B928-EA04D2605807}"/>
    <cellStyle name="Comma 8" xfId="97" xr:uid="{F9E45D90-26F1-4C45-964E-132FCF08CA99}"/>
    <cellStyle name="Comma 8 2" xfId="164" xr:uid="{A2FD41CF-EAEB-4155-A932-47F27A54CC12}"/>
    <cellStyle name="Comma 9" xfId="113" xr:uid="{1DEF78E7-64B6-4F6F-9745-7391A94FF23F}"/>
    <cellStyle name="Comma 9 2" xfId="180" xr:uid="{38889484-E1BA-4E63-944D-A5CA8E587444}"/>
    <cellStyle name="Currency" xfId="2" builtinId="4"/>
    <cellStyle name="Currency [0] 2" xfId="80" xr:uid="{5D7CCD4E-5243-47BF-AF49-B5BC2DD659F5}"/>
    <cellStyle name="Currency [0] 2 2" xfId="155" xr:uid="{111E89C8-660D-4804-AA20-0840E95CFC37}"/>
    <cellStyle name="Currency [0] 3" xfId="81" xr:uid="{9FE33551-B003-4CE6-89B5-139BE48BE82A}"/>
    <cellStyle name="Currency [0] 3 2" xfId="156" xr:uid="{2F1D7681-1C0A-46FF-BA26-02943C4E34CA}"/>
    <cellStyle name="Currency 10" xfId="160" xr:uid="{C69B2EF9-D5F5-434C-BC3E-719AD157FE70}"/>
    <cellStyle name="Currency 11" xfId="197" xr:uid="{5DDBD12A-FE5C-489F-A244-F4BFFEF0C148}"/>
    <cellStyle name="Currency 12" xfId="194" xr:uid="{719EC6AF-A205-46D6-9D34-48C43C1C54A0}"/>
    <cellStyle name="Currency 13" xfId="196" xr:uid="{1A60E6E6-D8CE-441E-8D00-BA39EE79FEA1}"/>
    <cellStyle name="Currency 14" xfId="142" xr:uid="{02C470C6-AFA5-4F46-938C-16E0DECEE4A4}"/>
    <cellStyle name="Currency 15" xfId="195" xr:uid="{B1FE87BC-8936-494C-9FC0-826C32EC66FB}"/>
    <cellStyle name="Currency 2" xfId="66" xr:uid="{05A44E36-36D6-405A-B366-6CEEA90913C9}"/>
    <cellStyle name="Currency 2 2" xfId="82" xr:uid="{E9172391-45E7-4D52-97F5-1D240F1FB9B8}"/>
    <cellStyle name="Currency 2 2 2" xfId="157" xr:uid="{F188E736-1B7C-47D3-BBCD-620020BA251E}"/>
    <cellStyle name="Currency 2 3" xfId="144" xr:uid="{3842F6B4-21EB-4A89-98C7-B918303FA580}"/>
    <cellStyle name="Currency 3" xfId="70" xr:uid="{ABC64B33-376F-411A-8784-941B3D50BA57}"/>
    <cellStyle name="Currency 3 2" xfId="83" xr:uid="{5A646449-E63B-4453-9602-685E5E634B00}"/>
    <cellStyle name="Currency 3 2 2" xfId="158" xr:uid="{7F3AA7F6-BDAC-4224-A929-93AF99A0D591}"/>
    <cellStyle name="Currency 3 3" xfId="148" xr:uid="{785FE8D9-D68F-4F03-8006-E8CB290B944E}"/>
    <cellStyle name="Currency 4" xfId="84" xr:uid="{5A539604-7E8F-43C1-BDA4-35B549B3167A}"/>
    <cellStyle name="Currency 4 2" xfId="159" xr:uid="{6ABD3E8B-1BB1-42F9-8D7E-F3FA5E60EF1F}"/>
    <cellStyle name="Currency 5" xfId="96" xr:uid="{69046C93-753A-4FEA-B124-F2FABDA8FBC1}"/>
    <cellStyle name="Currency 5 2" xfId="163" xr:uid="{FD263062-FC8C-4876-A1D3-F82FAFC8E691}"/>
    <cellStyle name="Currency 6" xfId="98" xr:uid="{660FFA52-703C-4E90-A2A4-0FEED1C545CD}"/>
    <cellStyle name="Currency 6 2" xfId="165" xr:uid="{DA0DB83B-72F9-467B-AC3E-D16374B526EF}"/>
    <cellStyle name="Currency 7" xfId="128" xr:uid="{5AAC0D28-D674-4C81-A3F0-2E391F5077FA}"/>
    <cellStyle name="Currency 8" xfId="131" xr:uid="{398EA632-44C4-4CEE-9564-4B071F585B67}"/>
    <cellStyle name="Currency 9" xfId="149" xr:uid="{9A6D54BD-D516-4964-A848-6D9FA299FFB3}"/>
    <cellStyle name="Explanatory Text 2" xfId="56" xr:uid="{6BEFA0BB-6198-4E8D-B282-03A27442778B}"/>
    <cellStyle name="Followed Hyperlink 2" xfId="57" xr:uid="{52BC3266-9DD3-4C3E-9551-7A02A1D82B3A}"/>
    <cellStyle name="Good" xfId="13" builtinId="26" customBuiltin="1"/>
    <cellStyle name="Hyperlink" xfId="6" builtinId="8"/>
    <cellStyle name="Hyperlink 2" xfId="58" xr:uid="{11051214-6341-48D0-9065-4A994D655417}"/>
    <cellStyle name="Hyperlink 3" xfId="43" xr:uid="{C3D7E184-345C-4C2B-92E6-E7E758ECE5DD}"/>
    <cellStyle name="Input 2" xfId="59" xr:uid="{2F31EF6F-C411-448F-B19D-C97B0095C54C}"/>
    <cellStyle name="Input data" xfId="60" xr:uid="{4F5A7335-E043-44B2-BD11-A1FB55CF09E6}"/>
    <cellStyle name="Linked Cell 2" xfId="61" xr:uid="{BFEAA3E2-10BB-43DB-B676-8D02F3502615}"/>
    <cellStyle name="Neutral" xfId="15" builtinId="28" customBuiltin="1"/>
    <cellStyle name="Normal" xfId="0" builtinId="0"/>
    <cellStyle name="Normal 10" xfId="7" xr:uid="{A9230900-726A-49E8-9266-21B16297E9A3}"/>
    <cellStyle name="Normal 2" xfId="8" xr:uid="{C86C0981-CB18-43CC-B4A1-9BB8443B4DE8}"/>
    <cellStyle name="Normal 2 2" xfId="4" xr:uid="{CB39C488-61B1-4D18-851F-A61908BE049D}"/>
    <cellStyle name="Normal 2 2 2" xfId="119" xr:uid="{0DCBF876-873B-4A35-9A3C-CC2875B1DD54}"/>
    <cellStyle name="Normal 2 2 3" xfId="85" xr:uid="{DBAD0130-7E99-42FE-9E5B-874276D13770}"/>
    <cellStyle name="Normal 2 3" xfId="52" xr:uid="{B164F58C-C901-4B6A-8F01-354D842B53C8}"/>
    <cellStyle name="Normal 2 3 2" xfId="11" xr:uid="{2CE4830F-2F3E-4861-92F9-04B8B57AA416}"/>
    <cellStyle name="Normal 3" xfId="9" xr:uid="{361D06E0-8EBC-4CE6-8F9E-360DD74A14B4}"/>
    <cellStyle name="Normal 3 4" xfId="41" xr:uid="{67EB8E51-CF9D-47AB-A90D-496B10E19623}"/>
    <cellStyle name="Normal 4 6" xfId="44" xr:uid="{08040209-E4EC-4650-AAD3-3CD03BDD85D2}"/>
    <cellStyle name="Normal 4 7 2" xfId="42" xr:uid="{DB897878-8AC0-4703-8682-2722045C8EED}"/>
    <cellStyle name="Normal 8 2" xfId="46" xr:uid="{813A295D-2B91-4D9A-B060-0A233C473513}"/>
    <cellStyle name="Note 2" xfId="62" xr:uid="{8414D4D7-1B91-49C3-945A-3117A74755F6}"/>
    <cellStyle name="Output 2" xfId="63" xr:uid="{8760F2A3-BED7-41C0-85F7-C148BFBD1367}"/>
    <cellStyle name="Per cent" xfId="3" builtinId="5"/>
    <cellStyle name="Percent 2" xfId="10" xr:uid="{46830EAF-0595-4933-98A2-99E502458373}"/>
    <cellStyle name="Percent 2 2" xfId="120" xr:uid="{C4AE9E85-7B3D-4F8B-B25B-C3DF7E097761}"/>
    <cellStyle name="Percent 2 3" xfId="86" xr:uid="{3925D92A-D208-4C2D-9F03-C9F3CA318AFE}"/>
    <cellStyle name="Pivot Table Category" xfId="87" xr:uid="{2FB175BA-B747-41CE-AFCE-3C0D2844B1A5}"/>
    <cellStyle name="Pivot Table Corner" xfId="88" xr:uid="{C89C11F8-2EF2-4DF8-9DB5-93C0244C25E5}"/>
    <cellStyle name="Pivot Table Field" xfId="89" xr:uid="{FC3C7B3F-6037-43C2-9FB6-7442CAAE04D2}"/>
    <cellStyle name="Pivot Table Result" xfId="90" xr:uid="{58A2EB28-9117-4D49-8ECF-AE40E6B58B53}"/>
    <cellStyle name="Pivot Table Title" xfId="91" xr:uid="{E762E344-D677-4059-928A-0FBC0485F8DA}"/>
    <cellStyle name="Pivot Table Value" xfId="92" xr:uid="{3FA1CED4-206B-497D-AFE8-522AF4B27978}"/>
    <cellStyle name="Selection" xfId="64" xr:uid="{E58148B9-A37C-4EC1-85A3-94A6ED3013E8}"/>
    <cellStyle name="Subtitle" xfId="93" xr:uid="{EB4A617C-6CF5-4804-9808-D21226C97B63}"/>
    <cellStyle name="Title" xfId="12" builtinId="15" customBuiltin="1"/>
    <cellStyle name="Title 2" xfId="94" xr:uid="{FC2F996E-C70A-4642-8182-7B74F4078364}"/>
    <cellStyle name="Warning Text 2" xfId="65" xr:uid="{A8D4EFFF-BDD6-4694-8E68-EF5E38EC55C6}"/>
  </cellStyles>
  <dxfs count="0"/>
  <tableStyles count="0" defaultTableStyle="TableStyleMedium2" defaultPivotStyle="PivotStyleLight16"/>
  <colors>
    <mruColors>
      <color rgb="FFFF99FF"/>
      <color rgb="FFCC00CC"/>
      <color rgb="FF303A46"/>
      <color rgb="FF003366"/>
      <color rgb="FF44546A"/>
      <color rgb="FF000000"/>
      <color rgb="FF2157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microsoft.com/office/2017/10/relationships/person" Target="persons/perso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1.xml"/><Relationship Id="rId53"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2.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magairports-my.sharepoint.com/personal/joe_heathcote_magairports_com/Documents/SS%202021_22%20CSR%20Data%20Collection.xlsx" TargetMode="External"/><Relationship Id="rId1" Type="http://schemas.openxmlformats.org/officeDocument/2006/relationships/externalLinkPath" Target="https://magairports-my.sharepoint.com/personal/joe_heathcote_magairports_com/Documents/SS%202021_22%20CSR%20Data%20Collection.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magairports.sharepoint.com/sites/CSRESGDisclosures-EUSFDR/Shared%20Documents/CSR%20Data%20Collection%202023-24.xlsx" TargetMode="External"/><Relationship Id="rId1" Type="http://schemas.openxmlformats.org/officeDocument/2006/relationships/externalLinkPath" Target="/sites/CSRESGDisclosures-EUSFDR/Shared%20Documents/CSR%20Data%20Collection%202023-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bout"/>
      <sheetName val="Instructions for data providers"/>
      <sheetName val="Summary GRI, G4, GRESB and SFDR"/>
      <sheetName val="KPIs - MAG (AF)"/>
      <sheetName val="KPIs - MAN"/>
      <sheetName val="KPIs - EMA"/>
      <sheetName val="KPIs - STN"/>
      <sheetName val="Passengers (PAX), Air Traffi"/>
      <sheetName val="Economic Performance"/>
      <sheetName val="Customer Health and Safety, All"/>
      <sheetName val="Customer Data &amp; Airport Service"/>
      <sheetName val="Tax"/>
      <sheetName val="Procurement practices"/>
      <sheetName val="Employee Num. &amp; Contract Type"/>
      <sheetName val="Remuneration"/>
      <sheetName val="Diversity and Equal Opportunity"/>
      <sheetName val="Equality Remuneration"/>
      <sheetName val="Equality 20 21"/>
      <sheetName val="Equality 19 20"/>
      <sheetName val="Equality 18 19"/>
      <sheetName val="Equality 17 18"/>
      <sheetName val="Equality 16 17"/>
      <sheetName val="Occupational H&amp;S"/>
      <sheetName val="H&amp;S and Sickness"/>
      <sheetName val="Employee Dev &amp; Engage"/>
      <sheetName val="Energy"/>
      <sheetName val="Emissions"/>
      <sheetName val="Noise Footprint "/>
      <sheetName val="Noise Procedures"/>
      <sheetName val="Air Quality Monitoring"/>
      <sheetName val="Bird Strikes Monitoring"/>
      <sheetName val="Waste Performance"/>
      <sheetName val="Water&amp;effluents"/>
      <sheetName val="Land Biodiversity"/>
      <sheetName val="Surface Access"/>
      <sheetName val="Noise Complaints"/>
      <sheetName val="Airport Academies&amp;aerozones T&amp;D"/>
      <sheetName val="Work Placement, Apprentices and"/>
      <sheetName val="Volunteering"/>
      <sheetName val="Employee Volunteering "/>
      <sheetName val="Community and Charity Donations"/>
      <sheetName val="Local community"/>
      <sheetName val="Community outreach&amp;neightbour"/>
      <sheetName val="Payment perf &amp; Customer complai"/>
      <sheetName val="Additional SFDR data"/>
      <sheetName val="Additional GRESB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9">
          <cell r="A9" t="str">
            <v>East Midlands</v>
          </cell>
        </row>
        <row r="10">
          <cell r="C10">
            <v>51197028</v>
          </cell>
          <cell r="D10">
            <v>55254242</v>
          </cell>
          <cell r="E10">
            <v>58877291</v>
          </cell>
          <cell r="H10">
            <v>61829148</v>
          </cell>
          <cell r="L10">
            <v>59598685</v>
          </cell>
          <cell r="P10">
            <v>6323949</v>
          </cell>
        </row>
      </sheetData>
      <sheetData sheetId="8" refreshError="1">
        <row r="7">
          <cell r="E7">
            <v>900</v>
          </cell>
          <cell r="F7">
            <v>1200</v>
          </cell>
          <cell r="I7">
            <v>1350</v>
          </cell>
          <cell r="L7">
            <v>1400</v>
          </cell>
          <cell r="O7" t="str">
            <v>Not measured this year</v>
          </cell>
          <cell r="R7" t="str">
            <v>Not measured this year</v>
          </cell>
        </row>
        <row r="9">
          <cell r="E9">
            <v>200</v>
          </cell>
          <cell r="F9">
            <v>260</v>
          </cell>
          <cell r="I9">
            <v>300</v>
          </cell>
          <cell r="L9">
            <v>300</v>
          </cell>
          <cell r="O9" t="str">
            <v>Not measured this year</v>
          </cell>
          <cell r="R9" t="str">
            <v>Not measured this year</v>
          </cell>
        </row>
        <row r="10">
          <cell r="E10">
            <v>6160</v>
          </cell>
          <cell r="F10">
            <v>7060</v>
          </cell>
          <cell r="I10">
            <v>7750</v>
          </cell>
          <cell r="L10">
            <v>8200</v>
          </cell>
          <cell r="O10" t="str">
            <v>Not measured this year</v>
          </cell>
          <cell r="R10" t="str">
            <v>Not measured this year</v>
          </cell>
        </row>
      </sheetData>
      <sheetData sheetId="9" refreshError="1">
        <row r="10">
          <cell r="I10">
            <v>0.98950000000000005</v>
          </cell>
          <cell r="M10">
            <v>0.99860000000000004</v>
          </cell>
          <cell r="P10">
            <v>0.99726872246696041</v>
          </cell>
        </row>
        <row r="13">
          <cell r="I13">
            <v>0.99619999999999997</v>
          </cell>
          <cell r="M13">
            <v>0.99960000000000004</v>
          </cell>
          <cell r="P13">
            <v>0.99959355100934844</v>
          </cell>
        </row>
        <row r="16">
          <cell r="I16">
            <v>0.95989999999999998</v>
          </cell>
          <cell r="M16">
            <v>0.97240000000000004</v>
          </cell>
          <cell r="P16">
            <v>0.99542195732918715</v>
          </cell>
        </row>
        <row r="19">
          <cell r="I19">
            <v>0.97489999999999999</v>
          </cell>
          <cell r="M19">
            <v>0.98909999999999998</v>
          </cell>
          <cell r="P19">
            <v>0.99935456110154908</v>
          </cell>
        </row>
        <row r="22">
          <cell r="I22">
            <v>3.92</v>
          </cell>
          <cell r="M22">
            <v>3.96</v>
          </cell>
          <cell r="P22">
            <v>4.3</v>
          </cell>
        </row>
        <row r="25">
          <cell r="I25">
            <v>1</v>
          </cell>
          <cell r="M25">
            <v>1</v>
          </cell>
          <cell r="P25">
            <v>1</v>
          </cell>
        </row>
        <row r="28">
          <cell r="I28">
            <v>1</v>
          </cell>
          <cell r="M28">
            <v>1</v>
          </cell>
          <cell r="P28">
            <v>1</v>
          </cell>
        </row>
        <row r="31">
          <cell r="I31">
            <v>0.99539999999999995</v>
          </cell>
          <cell r="M31">
            <v>0.98760000000000003</v>
          </cell>
          <cell r="P31">
            <v>1</v>
          </cell>
        </row>
        <row r="34">
          <cell r="I34">
            <v>0.99590000000000001</v>
          </cell>
          <cell r="M34">
            <v>0.99970000000000003</v>
          </cell>
          <cell r="P34">
            <v>0.99999999999999989</v>
          </cell>
        </row>
        <row r="37">
          <cell r="M37">
            <v>3.29</v>
          </cell>
          <cell r="P37">
            <v>2.36</v>
          </cell>
        </row>
        <row r="40">
          <cell r="I40">
            <v>1</v>
          </cell>
          <cell r="M40">
            <v>1</v>
          </cell>
          <cell r="P40">
            <v>0.92162090109304184</v>
          </cell>
        </row>
        <row r="43">
          <cell r="I43">
            <v>1</v>
          </cell>
          <cell r="M43">
            <v>1</v>
          </cell>
          <cell r="P43">
            <v>0.94149536932459899</v>
          </cell>
        </row>
        <row r="46">
          <cell r="I46">
            <v>0.97719999999999996</v>
          </cell>
          <cell r="M46">
            <v>0.98660000000000003</v>
          </cell>
          <cell r="P46">
            <v>0.97587333500879614</v>
          </cell>
        </row>
        <row r="49">
          <cell r="I49">
            <v>0.99760000000000004</v>
          </cell>
          <cell r="M49">
            <v>0.99929999999999997</v>
          </cell>
          <cell r="P49">
            <v>0.98230535894843285</v>
          </cell>
        </row>
        <row r="52">
          <cell r="I52">
            <v>4.1100000000000003</v>
          </cell>
          <cell r="M52">
            <v>3.67</v>
          </cell>
          <cell r="P52" t="str">
            <v>n/a</v>
          </cell>
        </row>
        <row r="55">
          <cell r="I55">
            <v>0.99423883926585588</v>
          </cell>
          <cell r="M55">
            <v>0.99930461766245271</v>
          </cell>
          <cell r="P55">
            <v>0.97081565299387085</v>
          </cell>
        </row>
        <row r="58">
          <cell r="I58">
            <v>0.9973534911466152</v>
          </cell>
          <cell r="M58">
            <v>0.99974935091998973</v>
          </cell>
          <cell r="P58">
            <v>0.97844153706903647</v>
          </cell>
        </row>
        <row r="61">
          <cell r="I61">
            <v>0.97044039693122486</v>
          </cell>
          <cell r="M61">
            <v>0.97970519313874427</v>
          </cell>
          <cell r="P61">
            <v>0.98882299270072993</v>
          </cell>
        </row>
        <row r="64">
          <cell r="I64">
            <v>0.98410591226452382</v>
          </cell>
          <cell r="M64">
            <v>0.99244646331941044</v>
          </cell>
          <cell r="P64">
            <v>0.99443793911007028</v>
          </cell>
        </row>
        <row r="67">
          <cell r="I67">
            <v>3.9667453600376379</v>
          </cell>
          <cell r="M67">
            <v>3.7853161975975356</v>
          </cell>
          <cell r="P67">
            <v>4.063435615466477</v>
          </cell>
        </row>
      </sheetData>
      <sheetData sheetId="10" refreshError="1"/>
      <sheetData sheetId="11" refreshError="1"/>
      <sheetData sheetId="12" refreshError="1">
        <row r="8">
          <cell r="D8">
            <v>0.33524355300859598</v>
          </cell>
          <cell r="E8">
            <v>0.37</v>
          </cell>
          <cell r="F8">
            <v>0.35</v>
          </cell>
          <cell r="I8">
            <v>0.37</v>
          </cell>
          <cell r="L8">
            <v>0.37</v>
          </cell>
          <cell r="O8">
            <v>0.35</v>
          </cell>
        </row>
        <row r="12">
          <cell r="D12">
            <v>0.17274939172749393</v>
          </cell>
          <cell r="E12">
            <v>0.18</v>
          </cell>
          <cell r="F12">
            <v>0.16</v>
          </cell>
          <cell r="I12">
            <v>0.19</v>
          </cell>
          <cell r="L12">
            <v>0.18</v>
          </cell>
          <cell r="O12">
            <v>0.18</v>
          </cell>
        </row>
        <row r="16">
          <cell r="D16">
            <v>0.28095238095238095</v>
          </cell>
          <cell r="E16">
            <v>2.5000000000000001E-2</v>
          </cell>
          <cell r="F16">
            <v>0.22</v>
          </cell>
          <cell r="I16">
            <v>0.22</v>
          </cell>
          <cell r="L16">
            <v>0.21</v>
          </cell>
          <cell r="O16">
            <v>0.18</v>
          </cell>
        </row>
        <row r="20">
          <cell r="D20">
            <v>0.27596664139499621</v>
          </cell>
          <cell r="E20">
            <v>0.277710843373494</v>
          </cell>
          <cell r="F20">
            <v>0.25965537730243615</v>
          </cell>
          <cell r="I20">
            <v>0.27639751552795033</v>
          </cell>
          <cell r="L20">
            <v>0.27296082209377009</v>
          </cell>
          <cell r="O20">
            <v>0.25109745390693589</v>
          </cell>
        </row>
        <row r="21">
          <cell r="D21">
            <v>0.307</v>
          </cell>
          <cell r="E21">
            <v>0.30199999999999999</v>
          </cell>
          <cell r="F21">
            <v>0.14209336219862284</v>
          </cell>
          <cell r="I21">
            <v>0.14499999999999999</v>
          </cell>
          <cell r="L21">
            <v>0.14699999999999999</v>
          </cell>
          <cell r="O21">
            <v>0.16700000000000001</v>
          </cell>
        </row>
      </sheetData>
      <sheetData sheetId="13" refreshError="1"/>
      <sheetData sheetId="14" refreshError="1"/>
      <sheetData sheetId="15" refreshError="1">
        <row r="37">
          <cell r="F37">
            <v>0.23529411764705882</v>
          </cell>
          <cell r="H37">
            <v>0.39130434782608697</v>
          </cell>
          <cell r="J37">
            <v>0.33913043478260868</v>
          </cell>
          <cell r="L37">
            <v>0.34513274336283184</v>
          </cell>
          <cell r="N37">
            <v>0.3401360544217687</v>
          </cell>
          <cell r="P37">
            <v>0.32592592592592595</v>
          </cell>
        </row>
        <row r="41">
          <cell r="F41">
            <v>0.38446601941747571</v>
          </cell>
          <cell r="H41">
            <v>0.38502673796791442</v>
          </cell>
          <cell r="J41">
            <v>0.3977987421383648</v>
          </cell>
          <cell r="L41">
            <v>0.41244573082489144</v>
          </cell>
          <cell r="N41">
            <v>0.42279942279942279</v>
          </cell>
          <cell r="P41">
            <v>0.42657342657342656</v>
          </cell>
        </row>
        <row r="45">
          <cell r="F45"/>
          <cell r="H45"/>
          <cell r="J45" t="str">
            <v>n/a</v>
          </cell>
          <cell r="L45" t="str">
            <v>n/a</v>
          </cell>
          <cell r="N45" t="str">
            <v>n/a</v>
          </cell>
          <cell r="P45" t="str">
            <v>n/a</v>
          </cell>
        </row>
        <row r="60">
          <cell r="F60">
            <v>1780</v>
          </cell>
          <cell r="H60">
            <v>1948</v>
          </cell>
          <cell r="J60">
            <v>2365</v>
          </cell>
          <cell r="L60">
            <v>2608</v>
          </cell>
          <cell r="N60">
            <v>2593</v>
          </cell>
          <cell r="P60">
            <v>1854</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row r="8">
          <cell r="E8">
            <v>3</v>
          </cell>
          <cell r="F8">
            <v>5</v>
          </cell>
          <cell r="G8">
            <v>7</v>
          </cell>
          <cell r="H8">
            <v>12</v>
          </cell>
          <cell r="K8">
            <v>6</v>
          </cell>
        </row>
        <row r="9">
          <cell r="E9">
            <v>11</v>
          </cell>
          <cell r="F9">
            <v>12</v>
          </cell>
          <cell r="G9">
            <v>11</v>
          </cell>
          <cell r="H9">
            <v>26</v>
          </cell>
          <cell r="K9">
            <v>19</v>
          </cell>
          <cell r="N9">
            <v>0</v>
          </cell>
        </row>
        <row r="17">
          <cell r="E17">
            <v>1</v>
          </cell>
          <cell r="F17" t="str">
            <v>0 </v>
          </cell>
          <cell r="G17">
            <v>1</v>
          </cell>
          <cell r="H17">
            <v>3</v>
          </cell>
          <cell r="K17">
            <v>3</v>
          </cell>
          <cell r="N17">
            <v>0</v>
          </cell>
        </row>
        <row r="18">
          <cell r="E18">
            <v>2</v>
          </cell>
          <cell r="F18" t="str">
            <v> 4</v>
          </cell>
          <cell r="G18">
            <v>4</v>
          </cell>
          <cell r="H18">
            <v>9</v>
          </cell>
          <cell r="K18">
            <v>10</v>
          </cell>
          <cell r="N18">
            <v>3</v>
          </cell>
        </row>
        <row r="26">
          <cell r="E26">
            <v>3</v>
          </cell>
          <cell r="F26" t="str">
            <v> 1</v>
          </cell>
          <cell r="G26">
            <v>1</v>
          </cell>
          <cell r="H26">
            <v>2</v>
          </cell>
          <cell r="K26">
            <v>2</v>
          </cell>
          <cell r="N26">
            <v>0</v>
          </cell>
        </row>
        <row r="27">
          <cell r="E27">
            <v>3</v>
          </cell>
          <cell r="F27" t="str">
            <v> 2</v>
          </cell>
          <cell r="G27">
            <v>1</v>
          </cell>
          <cell r="H27">
            <v>3</v>
          </cell>
          <cell r="K27">
            <v>4</v>
          </cell>
        </row>
        <row r="35">
          <cell r="E35">
            <v>8</v>
          </cell>
          <cell r="F35" t="str">
            <v> 8</v>
          </cell>
          <cell r="G35">
            <v>10</v>
          </cell>
          <cell r="H35">
            <v>20</v>
          </cell>
          <cell r="K35">
            <v>12</v>
          </cell>
          <cell r="N35">
            <v>2</v>
          </cell>
        </row>
        <row r="36">
          <cell r="E36">
            <v>17</v>
          </cell>
          <cell r="F36" t="str">
            <v> 20</v>
          </cell>
          <cell r="G36">
            <v>17</v>
          </cell>
          <cell r="H36">
            <v>41</v>
          </cell>
          <cell r="K36">
            <v>34</v>
          </cell>
          <cell r="N36">
            <v>4</v>
          </cell>
        </row>
        <row r="43">
          <cell r="H43">
            <v>12190879</v>
          </cell>
          <cell r="K43">
            <v>13550757</v>
          </cell>
          <cell r="N43">
            <v>3826527</v>
          </cell>
        </row>
        <row r="52">
          <cell r="E52">
            <v>4.07E-2</v>
          </cell>
          <cell r="F52">
            <v>2.07E-2</v>
          </cell>
          <cell r="G52">
            <v>3.32E-2</v>
          </cell>
          <cell r="H52">
            <v>3.56E-2</v>
          </cell>
          <cell r="I52">
            <v>4.3200000000000002E-2</v>
          </cell>
          <cell r="J52">
            <v>2.47E-2</v>
          </cell>
        </row>
      </sheetData>
      <sheetData sheetId="24" refreshError="1">
        <row r="19">
          <cell r="J19">
            <v>0.50490000000000002</v>
          </cell>
          <cell r="M19">
            <v>0.25</v>
          </cell>
        </row>
        <row r="20">
          <cell r="J20">
            <v>0.63929999999999998</v>
          </cell>
          <cell r="M20">
            <v>5.5599999999999997E-2</v>
          </cell>
        </row>
        <row r="21">
          <cell r="J21">
            <v>0.4375</v>
          </cell>
        </row>
        <row r="23">
          <cell r="J23">
            <v>0.4395</v>
          </cell>
        </row>
        <row r="31">
          <cell r="E31">
            <v>0.55000000000000004</v>
          </cell>
          <cell r="F31" t="str">
            <v>No survey carried out this year</v>
          </cell>
          <cell r="G31" t="str">
            <v>No survey carried out this year</v>
          </cell>
          <cell r="J31">
            <v>0.59</v>
          </cell>
          <cell r="M31" t="str">
            <v>No survey carried out this year</v>
          </cell>
        </row>
        <row r="32">
          <cell r="D32">
            <v>0.48</v>
          </cell>
          <cell r="E32">
            <v>0.54</v>
          </cell>
          <cell r="F32" t="str">
            <v>No survey carried out this year</v>
          </cell>
          <cell r="G32" t="str">
            <v>No survey carried out this year</v>
          </cell>
          <cell r="J32">
            <v>0.57999999999999996</v>
          </cell>
          <cell r="M32" t="str">
            <v>No survey carried out this year</v>
          </cell>
        </row>
        <row r="33">
          <cell r="D33">
            <v>0.42</v>
          </cell>
          <cell r="E33">
            <v>0.43</v>
          </cell>
          <cell r="F33" t="str">
            <v>No survey carried out this year</v>
          </cell>
          <cell r="G33" t="str">
            <v>No survey carried out this year</v>
          </cell>
          <cell r="J33">
            <v>0.53</v>
          </cell>
          <cell r="M33" t="str">
            <v>No survey carried out this year</v>
          </cell>
        </row>
        <row r="34">
          <cell r="D34">
            <v>0.53</v>
          </cell>
          <cell r="E34">
            <v>0.55000000000000004</v>
          </cell>
          <cell r="F34" t="str">
            <v>No survey carried out this year</v>
          </cell>
          <cell r="G34" t="str">
            <v>No survey carried out this year</v>
          </cell>
          <cell r="J34">
            <v>0.55000000000000004</v>
          </cell>
          <cell r="M34" t="str">
            <v>No survey carried out this year</v>
          </cell>
        </row>
      </sheetData>
      <sheetData sheetId="25" refreshError="1">
        <row r="26">
          <cell r="S26">
            <v>191.04761480711502</v>
          </cell>
          <cell r="T26">
            <v>316.37433719202744</v>
          </cell>
          <cell r="U26">
            <v>306.07555865695372</v>
          </cell>
          <cell r="Y26">
            <v>149495.78008259268</v>
          </cell>
          <cell r="Z26">
            <v>252788.35826321848</v>
          </cell>
          <cell r="AA26">
            <v>273817.28881694609</v>
          </cell>
          <cell r="BC26">
            <v>78.221616364185962</v>
          </cell>
          <cell r="BD26">
            <v>146.35774219317074</v>
          </cell>
          <cell r="BE26">
            <v>148.73668621073168</v>
          </cell>
          <cell r="BO26">
            <v>73.553333442929059</v>
          </cell>
          <cell r="BP26">
            <v>94.855879139417823</v>
          </cell>
          <cell r="BQ26">
            <v>80.725999999999999</v>
          </cell>
        </row>
        <row r="30">
          <cell r="H30">
            <v>134289304.69287133</v>
          </cell>
          <cell r="I30">
            <v>136841436.12659401</v>
          </cell>
          <cell r="Y30">
            <v>15119728.110000001</v>
          </cell>
          <cell r="Z30">
            <v>19666572.359999999</v>
          </cell>
          <cell r="AA30">
            <v>20552200.500000004</v>
          </cell>
          <cell r="AQ30">
            <v>58655926.620200001</v>
          </cell>
          <cell r="AR30">
            <v>70810895.462899998</v>
          </cell>
          <cell r="AS30">
            <v>65786004.496593595</v>
          </cell>
          <cell r="BI30">
            <v>33754934.730000004</v>
          </cell>
          <cell r="BJ30">
            <v>43775814.185299993</v>
          </cell>
          <cell r="BK30">
            <v>42641730.629999995</v>
          </cell>
        </row>
        <row r="31">
          <cell r="H31">
            <v>211196885.172616</v>
          </cell>
          <cell r="I31">
            <v>209766523.18476373</v>
          </cell>
          <cell r="Y31">
            <v>24919524.39057602</v>
          </cell>
          <cell r="Z31">
            <v>33245092.320322905</v>
          </cell>
          <cell r="AA31">
            <v>28763677.044995021</v>
          </cell>
          <cell r="AQ31">
            <v>104369630.92297669</v>
          </cell>
          <cell r="AR31">
            <v>115654513.24796048</v>
          </cell>
          <cell r="AS31">
            <v>113661978.81177536</v>
          </cell>
          <cell r="BI31">
            <v>53483905.07083866</v>
          </cell>
          <cell r="BJ31">
            <v>62171141.362100475</v>
          </cell>
          <cell r="BK31">
            <v>59401938.043013409</v>
          </cell>
        </row>
      </sheetData>
      <sheetData sheetId="26" refreshError="1">
        <row r="8">
          <cell r="F8">
            <v>210406900</v>
          </cell>
          <cell r="G8">
            <v>208525599.78270805</v>
          </cell>
          <cell r="L8">
            <v>32727245.940000001</v>
          </cell>
          <cell r="M8">
            <v>27900489.599840976</v>
          </cell>
          <cell r="R8">
            <v>115371711.90000001</v>
          </cell>
          <cell r="S8">
            <v>113410174.70222235</v>
          </cell>
          <cell r="X8">
            <v>62208693.350000001</v>
          </cell>
          <cell r="Y8">
            <v>59405579.033116855</v>
          </cell>
        </row>
        <row r="14">
          <cell r="E14">
            <v>39308</v>
          </cell>
          <cell r="F14">
            <v>50043</v>
          </cell>
          <cell r="G14">
            <v>47739.090915080516</v>
          </cell>
          <cell r="L14">
            <v>7914.6457762768623</v>
          </cell>
          <cell r="M14">
            <v>7283.6738736229527</v>
          </cell>
          <cell r="R14">
            <v>27336.754749591972</v>
          </cell>
          <cell r="S14">
            <v>28251.791649061175</v>
          </cell>
          <cell r="X14">
            <v>14714.199774589475</v>
          </cell>
          <cell r="Y14">
            <v>15374.087323660136</v>
          </cell>
        </row>
        <row r="15">
          <cell r="F15">
            <v>15492</v>
          </cell>
          <cell r="G15">
            <v>14520</v>
          </cell>
          <cell r="L15">
            <v>2961.3057762768617</v>
          </cell>
          <cell r="M15">
            <v>1506.9280854179522</v>
          </cell>
          <cell r="R15">
            <v>8937.7547495919735</v>
          </cell>
          <cell r="S15">
            <v>9629.7473562104169</v>
          </cell>
          <cell r="X15">
            <v>3525.1016688267941</v>
          </cell>
          <cell r="Y15">
            <v>3303.4926342260346</v>
          </cell>
        </row>
        <row r="16">
          <cell r="E16">
            <v>12013</v>
          </cell>
          <cell r="F16">
            <v>66899</v>
          </cell>
          <cell r="G16">
            <v>69166.687999999995</v>
          </cell>
          <cell r="K16">
            <v>4808.0509999999995</v>
          </cell>
          <cell r="L16">
            <v>8189.1419999999998</v>
          </cell>
          <cell r="M16">
            <v>8524.2039999999997</v>
          </cell>
          <cell r="Q16">
            <v>3239.038</v>
          </cell>
          <cell r="R16">
            <v>29303.802</v>
          </cell>
          <cell r="S16">
            <v>29749.379000000001</v>
          </cell>
          <cell r="W16">
            <v>5939.27</v>
          </cell>
          <cell r="X16">
            <v>29406.370999999999</v>
          </cell>
          <cell r="Y16">
            <v>30893.106963999999</v>
          </cell>
        </row>
        <row r="18">
          <cell r="F18">
            <v>0.23200000000000001</v>
          </cell>
          <cell r="G18">
            <v>0.21</v>
          </cell>
          <cell r="L18">
            <v>0.36161368019712709</v>
          </cell>
          <cell r="M18">
            <v>0.17678226441060682</v>
          </cell>
          <cell r="R18">
            <v>0.30500324666375966</v>
          </cell>
          <cell r="S18">
            <v>0.32369574357200587</v>
          </cell>
          <cell r="X18">
            <v>0.11987544021759075</v>
          </cell>
          <cell r="Y18">
            <v>0.10693300088189973</v>
          </cell>
        </row>
        <row r="19">
          <cell r="F19">
            <v>15439</v>
          </cell>
          <cell r="G19">
            <v>14520</v>
          </cell>
          <cell r="K19">
            <v>1944.27</v>
          </cell>
          <cell r="L19">
            <v>2961.3057762768617</v>
          </cell>
          <cell r="M19">
            <v>1506.9280854179522</v>
          </cell>
          <cell r="Q19">
            <v>8566</v>
          </cell>
          <cell r="R19">
            <v>8937.7547495919735</v>
          </cell>
          <cell r="S19">
            <v>9629.7473562104169</v>
          </cell>
          <cell r="X19">
            <v>3525.1016688267941</v>
          </cell>
          <cell r="Y19">
            <v>3303.4926342260346</v>
          </cell>
        </row>
        <row r="21">
          <cell r="E21">
            <v>0</v>
          </cell>
          <cell r="F21">
            <v>0</v>
          </cell>
          <cell r="G21">
            <v>0</v>
          </cell>
          <cell r="K21">
            <v>0</v>
          </cell>
          <cell r="L21">
            <v>0</v>
          </cell>
          <cell r="M21">
            <v>0</v>
          </cell>
          <cell r="Q21">
            <v>0</v>
          </cell>
          <cell r="R21">
            <v>0</v>
          </cell>
          <cell r="S21">
            <v>0</v>
          </cell>
          <cell r="W21">
            <v>0</v>
          </cell>
          <cell r="X21">
            <v>0</v>
          </cell>
          <cell r="Y21">
            <v>0</v>
          </cell>
        </row>
      </sheetData>
      <sheetData sheetId="27" refreshError="1">
        <row r="11">
          <cell r="I11">
            <v>29.9</v>
          </cell>
          <cell r="J11">
            <v>31600</v>
          </cell>
        </row>
        <row r="12">
          <cell r="I12">
            <v>32</v>
          </cell>
          <cell r="J12">
            <v>34100</v>
          </cell>
        </row>
        <row r="13">
          <cell r="I13">
            <v>34</v>
          </cell>
          <cell r="J13">
            <v>36950</v>
          </cell>
        </row>
        <row r="14">
          <cell r="I14">
            <v>32</v>
          </cell>
          <cell r="J14">
            <v>35300</v>
          </cell>
        </row>
        <row r="15">
          <cell r="I15">
            <v>32.9</v>
          </cell>
          <cell r="J15">
            <v>34700</v>
          </cell>
        </row>
        <row r="32">
          <cell r="I32">
            <v>11</v>
          </cell>
          <cell r="J32">
            <v>6200</v>
          </cell>
        </row>
        <row r="33">
          <cell r="I33">
            <v>12.1</v>
          </cell>
          <cell r="J33">
            <v>9000</v>
          </cell>
        </row>
        <row r="34">
          <cell r="I34">
            <v>12.6</v>
          </cell>
          <cell r="J34">
            <v>7500</v>
          </cell>
        </row>
        <row r="35">
          <cell r="I35">
            <v>12.6</v>
          </cell>
          <cell r="J35">
            <v>8500</v>
          </cell>
        </row>
        <row r="36">
          <cell r="I36">
            <v>13.4</v>
          </cell>
          <cell r="J36">
            <v>10500</v>
          </cell>
        </row>
        <row r="51">
          <cell r="I51">
            <v>8.4</v>
          </cell>
          <cell r="J51">
            <v>1100</v>
          </cell>
        </row>
        <row r="52">
          <cell r="I52">
            <v>7.9</v>
          </cell>
          <cell r="J52">
            <v>1000</v>
          </cell>
        </row>
        <row r="53">
          <cell r="I53">
            <v>9</v>
          </cell>
          <cell r="J53">
            <v>1700</v>
          </cell>
        </row>
        <row r="54">
          <cell r="I54">
            <v>7.7</v>
          </cell>
          <cell r="J54">
            <v>900</v>
          </cell>
        </row>
        <row r="55">
          <cell r="I55">
            <v>8.3000000000000007</v>
          </cell>
          <cell r="J55">
            <v>1000</v>
          </cell>
        </row>
        <row r="57">
          <cell r="I57">
            <v>5.0999999999999996</v>
          </cell>
        </row>
        <row r="70">
          <cell r="I70">
            <v>8.6</v>
          </cell>
          <cell r="J70">
            <v>1000</v>
          </cell>
        </row>
        <row r="71">
          <cell r="I71">
            <v>8</v>
          </cell>
          <cell r="J71">
            <v>1000</v>
          </cell>
        </row>
        <row r="72">
          <cell r="I72">
            <v>7.8</v>
          </cell>
          <cell r="J72">
            <v>900</v>
          </cell>
        </row>
        <row r="73">
          <cell r="I73">
            <v>7.6</v>
          </cell>
          <cell r="J73">
            <v>900</v>
          </cell>
        </row>
        <row r="74">
          <cell r="I74">
            <v>8.5</v>
          </cell>
          <cell r="J74">
            <v>1000</v>
          </cell>
        </row>
        <row r="76">
          <cell r="J76">
            <v>1000</v>
          </cell>
        </row>
        <row r="91">
          <cell r="I91">
            <v>23.6</v>
          </cell>
          <cell r="J91">
            <v>1650</v>
          </cell>
        </row>
        <row r="92">
          <cell r="I92">
            <v>24.8</v>
          </cell>
          <cell r="J92">
            <v>2050</v>
          </cell>
        </row>
        <row r="93">
          <cell r="I93">
            <v>26.5</v>
          </cell>
          <cell r="J93">
            <v>2450</v>
          </cell>
        </row>
        <row r="94">
          <cell r="I94">
            <v>28.5</v>
          </cell>
          <cell r="J94">
            <v>2100</v>
          </cell>
        </row>
        <row r="95">
          <cell r="I95">
            <v>28.5</v>
          </cell>
          <cell r="J95">
            <v>2500</v>
          </cell>
        </row>
        <row r="111">
          <cell r="I111">
            <v>8.5</v>
          </cell>
          <cell r="J111">
            <v>250</v>
          </cell>
        </row>
        <row r="112">
          <cell r="I112">
            <v>9.1999999999999993</v>
          </cell>
          <cell r="J112">
            <v>350</v>
          </cell>
        </row>
        <row r="113">
          <cell r="I113">
            <v>9.6</v>
          </cell>
          <cell r="J113">
            <v>400</v>
          </cell>
        </row>
        <row r="114">
          <cell r="I114">
            <v>10.3</v>
          </cell>
          <cell r="J114">
            <v>450</v>
          </cell>
        </row>
        <row r="115">
          <cell r="I115">
            <v>10.8</v>
          </cell>
          <cell r="J115">
            <v>450</v>
          </cell>
        </row>
        <row r="128">
          <cell r="I128">
            <v>61.9</v>
          </cell>
          <cell r="J128">
            <v>34350</v>
          </cell>
        </row>
        <row r="129">
          <cell r="I129">
            <v>64.7</v>
          </cell>
          <cell r="J129">
            <v>37150</v>
          </cell>
        </row>
        <row r="130">
          <cell r="I130">
            <v>69.5</v>
          </cell>
          <cell r="J130">
            <v>41100</v>
          </cell>
        </row>
        <row r="131">
          <cell r="I131">
            <v>68.2</v>
          </cell>
          <cell r="J131">
            <v>38300</v>
          </cell>
        </row>
        <row r="132">
          <cell r="I132">
            <v>69.7</v>
          </cell>
          <cell r="J132">
            <v>38200</v>
          </cell>
        </row>
        <row r="145">
          <cell r="I145">
            <v>28.1</v>
          </cell>
          <cell r="J145">
            <v>7450</v>
          </cell>
        </row>
        <row r="146">
          <cell r="I146">
            <v>29.3</v>
          </cell>
          <cell r="J146">
            <v>10350</v>
          </cell>
        </row>
        <row r="147">
          <cell r="I147">
            <v>30</v>
          </cell>
          <cell r="J147">
            <v>8800</v>
          </cell>
        </row>
        <row r="148">
          <cell r="I148">
            <v>30.5</v>
          </cell>
          <cell r="J148">
            <v>9850</v>
          </cell>
        </row>
        <row r="149">
          <cell r="I149">
            <v>32.700000000000003</v>
          </cell>
          <cell r="J149">
            <v>11950</v>
          </cell>
        </row>
      </sheetData>
      <sheetData sheetId="28" refreshError="1">
        <row r="9">
          <cell r="H9">
            <v>0.94451184698829571</v>
          </cell>
          <cell r="I9">
            <v>0.94</v>
          </cell>
          <cell r="J9">
            <v>0.92200000000000004</v>
          </cell>
          <cell r="K9">
            <v>0.9</v>
          </cell>
          <cell r="L9">
            <v>0.89100000000000001</v>
          </cell>
          <cell r="M9">
            <v>0.91539999999999999</v>
          </cell>
        </row>
        <row r="11">
          <cell r="H11" t="str">
            <v>n/a</v>
          </cell>
          <cell r="I11" t="str">
            <v>n/a</v>
          </cell>
          <cell r="J11" t="str">
            <v>n/a</v>
          </cell>
          <cell r="K11">
            <v>0.94123420827660453</v>
          </cell>
          <cell r="L11">
            <v>0.95197097146627085</v>
          </cell>
          <cell r="M11">
            <v>0.96432903296945638</v>
          </cell>
        </row>
        <row r="14">
          <cell r="H14">
            <v>0.88687235329703573</v>
          </cell>
          <cell r="I14">
            <v>0.88</v>
          </cell>
          <cell r="J14">
            <v>0.91</v>
          </cell>
          <cell r="K14">
            <v>0.9</v>
          </cell>
          <cell r="L14">
            <v>0.9</v>
          </cell>
          <cell r="M14">
            <v>0.871</v>
          </cell>
        </row>
        <row r="19">
          <cell r="H19">
            <v>0.9593322475570033</v>
          </cell>
          <cell r="I19">
            <v>0.96110110515490288</v>
          </cell>
          <cell r="J19">
            <v>0.96</v>
          </cell>
          <cell r="K19">
            <v>0.94299999999999995</v>
          </cell>
          <cell r="L19">
            <v>0.94</v>
          </cell>
          <cell r="M19">
            <v>0.86021383075523206</v>
          </cell>
        </row>
        <row r="22">
          <cell r="K22">
            <v>0.94499999999999995</v>
          </cell>
          <cell r="L22">
            <v>0.95</v>
          </cell>
          <cell r="M22">
            <v>0.95</v>
          </cell>
        </row>
        <row r="25">
          <cell r="K25">
            <v>0.91700000000000004</v>
          </cell>
          <cell r="L25">
            <v>0.92</v>
          </cell>
          <cell r="M25">
            <v>0.875</v>
          </cell>
        </row>
        <row r="30">
          <cell r="H30">
            <v>0.99335975152618616</v>
          </cell>
          <cell r="I30">
            <v>0.99289756839585708</v>
          </cell>
          <cell r="J30">
            <v>0.99550398534320284</v>
          </cell>
          <cell r="K30">
            <v>0.99609999999999999</v>
          </cell>
          <cell r="L30">
            <v>0.99709999999999999</v>
          </cell>
          <cell r="M30">
            <v>0.996</v>
          </cell>
        </row>
        <row r="32">
          <cell r="H32" t="str">
            <v>n/a</v>
          </cell>
          <cell r="I32" t="str">
            <v>n/a</v>
          </cell>
          <cell r="J32" t="str">
            <v>n/a</v>
          </cell>
          <cell r="K32">
            <v>0.72764404964904628</v>
          </cell>
          <cell r="L32">
            <v>0.74345876551429968</v>
          </cell>
          <cell r="M32">
            <v>0.86520062300674927</v>
          </cell>
        </row>
        <row r="35">
          <cell r="H35">
            <v>0.94245860184354346</v>
          </cell>
          <cell r="I35">
            <v>0.93586542252595606</v>
          </cell>
          <cell r="J35">
            <v>0.94097084067526859</v>
          </cell>
          <cell r="K35">
            <v>0.94740000000000002</v>
          </cell>
          <cell r="L35">
            <v>0.9466</v>
          </cell>
          <cell r="M35">
            <v>0.9234</v>
          </cell>
        </row>
        <row r="40">
          <cell r="H40">
            <v>0.97342280795816827</v>
          </cell>
          <cell r="I40">
            <v>0.97208898076155126</v>
          </cell>
          <cell r="J40">
            <v>0.96843358068326291</v>
          </cell>
          <cell r="K40">
            <v>0.96051231030572659</v>
          </cell>
          <cell r="L40">
            <v>0.95785243339545356</v>
          </cell>
          <cell r="M40">
            <v>0.93758372914383148</v>
          </cell>
        </row>
        <row r="43">
          <cell r="H43" t="str">
            <v>n/a</v>
          </cell>
          <cell r="I43" t="str">
            <v>n/a</v>
          </cell>
          <cell r="J43" t="str">
            <v>n/a</v>
          </cell>
          <cell r="K43">
            <v>0.85037190649208194</v>
          </cell>
          <cell r="L43">
            <v>0.86181601019689635</v>
          </cell>
          <cell r="M43">
            <v>0.87687371005890413</v>
          </cell>
        </row>
        <row r="46">
          <cell r="H46">
            <v>0.92167024941841635</v>
          </cell>
          <cell r="I46">
            <v>0.91387286538351709</v>
          </cell>
          <cell r="J46">
            <v>0.92814613155352599</v>
          </cell>
          <cell r="K46">
            <v>0.92959761341928282</v>
          </cell>
          <cell r="L46">
            <v>0.93072926380858501</v>
          </cell>
          <cell r="M46">
            <v>0.88958195333774936</v>
          </cell>
        </row>
      </sheetData>
      <sheetData sheetId="29" refreshError="1">
        <row r="11">
          <cell r="H11">
            <v>0</v>
          </cell>
          <cell r="I11">
            <v>0</v>
          </cell>
          <cell r="J11">
            <v>0</v>
          </cell>
          <cell r="K11">
            <v>0</v>
          </cell>
          <cell r="N11">
            <v>0</v>
          </cell>
          <cell r="Q11">
            <v>0</v>
          </cell>
        </row>
        <row r="15">
          <cell r="H15">
            <v>0</v>
          </cell>
        </row>
        <row r="19">
          <cell r="I19">
            <v>0</v>
          </cell>
          <cell r="J19">
            <v>0</v>
          </cell>
          <cell r="K19">
            <v>1</v>
          </cell>
          <cell r="N19">
            <v>1</v>
          </cell>
          <cell r="Q19">
            <v>1</v>
          </cell>
        </row>
        <row r="29">
          <cell r="H29">
            <v>0</v>
          </cell>
          <cell r="I29">
            <v>0</v>
          </cell>
          <cell r="J29">
            <v>0</v>
          </cell>
          <cell r="K29">
            <v>0</v>
          </cell>
          <cell r="N29">
            <v>0</v>
          </cell>
          <cell r="Q29">
            <v>0</v>
          </cell>
        </row>
        <row r="30">
          <cell r="H30">
            <v>0</v>
          </cell>
          <cell r="I30">
            <v>0</v>
          </cell>
          <cell r="J30">
            <v>0</v>
          </cell>
          <cell r="K30">
            <v>1</v>
          </cell>
          <cell r="N30">
            <v>1</v>
          </cell>
          <cell r="Q30">
            <v>1</v>
          </cell>
        </row>
      </sheetData>
      <sheetData sheetId="30" refreshError="1"/>
      <sheetData sheetId="31" refreshError="1">
        <row r="6">
          <cell r="AL6">
            <v>8370.1</v>
          </cell>
          <cell r="AM6">
            <v>8618</v>
          </cell>
          <cell r="AN6">
            <v>8675</v>
          </cell>
          <cell r="AO6">
            <v>9053.5314999999937</v>
          </cell>
          <cell r="AR6">
            <v>9092.8188999999948</v>
          </cell>
          <cell r="AU6">
            <v>1929</v>
          </cell>
        </row>
        <row r="7">
          <cell r="AL7">
            <v>0.71207034563505811</v>
          </cell>
          <cell r="AM7">
            <v>0.7</v>
          </cell>
          <cell r="AN7">
            <v>0.74</v>
          </cell>
          <cell r="AO7">
            <v>0.75</v>
          </cell>
          <cell r="AR7">
            <v>0.749</v>
          </cell>
          <cell r="AU7">
            <v>0.86</v>
          </cell>
        </row>
        <row r="8">
          <cell r="AL8">
            <v>483.6</v>
          </cell>
          <cell r="AM8">
            <v>485</v>
          </cell>
          <cell r="AN8">
            <v>727.58</v>
          </cell>
          <cell r="AO8">
            <v>689.77</v>
          </cell>
          <cell r="AR8">
            <v>651.54999999999995</v>
          </cell>
          <cell r="AU8">
            <v>149.12</v>
          </cell>
        </row>
        <row r="9">
          <cell r="AL9">
            <v>0.78308519437551705</v>
          </cell>
          <cell r="AM9">
            <v>0.9</v>
          </cell>
          <cell r="AN9">
            <v>0.97</v>
          </cell>
          <cell r="AO9">
            <v>0.96750000000000003</v>
          </cell>
          <cell r="AR9">
            <v>0.97099999999999997</v>
          </cell>
          <cell r="AU9">
            <v>0.9627</v>
          </cell>
        </row>
        <row r="10">
          <cell r="AL10">
            <v>6141.92</v>
          </cell>
          <cell r="AM10">
            <v>7659.75</v>
          </cell>
          <cell r="AN10">
            <v>6945</v>
          </cell>
          <cell r="AO10">
            <v>8194.84</v>
          </cell>
          <cell r="AR10">
            <v>6522</v>
          </cell>
        </row>
        <row r="11">
          <cell r="AL11">
            <v>0.98770742699351344</v>
          </cell>
          <cell r="AM11">
            <v>0.99422696563203761</v>
          </cell>
          <cell r="AN11">
            <v>1</v>
          </cell>
          <cell r="AO11">
            <v>1</v>
          </cell>
          <cell r="AR11">
            <v>1</v>
          </cell>
          <cell r="AU11">
            <v>1</v>
          </cell>
        </row>
        <row r="12">
          <cell r="AL12">
            <v>15569.18</v>
          </cell>
          <cell r="AM12">
            <v>17496.403999999999</v>
          </cell>
          <cell r="AN12">
            <v>16347.58</v>
          </cell>
          <cell r="AO12">
            <v>17938.141499999994</v>
          </cell>
          <cell r="AR12">
            <v>16266.368899999994</v>
          </cell>
        </row>
        <row r="13">
          <cell r="AL13">
            <v>0.83066545572727657</v>
          </cell>
          <cell r="AM13">
            <v>0.80500141629102762</v>
          </cell>
          <cell r="AN13">
            <v>0.86069330139384548</v>
          </cell>
          <cell r="AO13">
            <v>0.87257317598927397</v>
          </cell>
          <cell r="AR13">
            <v>0.85853065868314349</v>
          </cell>
          <cell r="AU13">
            <v>0.9256706428055187</v>
          </cell>
        </row>
        <row r="26">
          <cell r="AU26">
            <v>0.26948807672369096</v>
          </cell>
        </row>
        <row r="30">
          <cell r="AU30">
            <v>0.28500536480686695</v>
          </cell>
        </row>
        <row r="34">
          <cell r="AU34">
            <v>0.11245455053200348</v>
          </cell>
        </row>
        <row r="38">
          <cell r="AU38">
            <v>0.25574752165517833</v>
          </cell>
        </row>
      </sheetData>
      <sheetData sheetId="32" refreshError="1">
        <row r="7">
          <cell r="F7">
            <v>0.94299999999999995</v>
          </cell>
          <cell r="G7">
            <v>0.96899999999999997</v>
          </cell>
          <cell r="H7">
            <v>0.94499999999999995</v>
          </cell>
          <cell r="I7">
            <v>0.82857142857142851</v>
          </cell>
          <cell r="L7">
            <v>0.87179487179487181</v>
          </cell>
          <cell r="O7">
            <v>0.83333333333333326</v>
          </cell>
        </row>
        <row r="10">
          <cell r="F10">
            <v>0.82399999999999995</v>
          </cell>
          <cell r="G10">
            <v>0.98899999999999999</v>
          </cell>
          <cell r="H10">
            <v>0.96</v>
          </cell>
          <cell r="I10">
            <v>0.73333333333333339</v>
          </cell>
          <cell r="L10">
            <v>0.7</v>
          </cell>
          <cell r="O10">
            <v>0.88372093023255816</v>
          </cell>
        </row>
        <row r="13">
          <cell r="F13">
            <v>0.98</v>
          </cell>
          <cell r="G13">
            <v>0.98</v>
          </cell>
          <cell r="H13">
            <v>0.94499999999999995</v>
          </cell>
          <cell r="I13">
            <v>0.97101449275362317</v>
          </cell>
          <cell r="L13">
            <v>0.94400000000000006</v>
          </cell>
        </row>
        <row r="16">
          <cell r="F16">
            <v>0.80400000000000005</v>
          </cell>
          <cell r="G16">
            <v>0.97</v>
          </cell>
          <cell r="H16">
            <v>1</v>
          </cell>
          <cell r="I16">
            <v>0.97199999999999998</v>
          </cell>
          <cell r="L16">
            <v>1</v>
          </cell>
          <cell r="O16">
            <v>1</v>
          </cell>
        </row>
        <row r="19">
          <cell r="F19">
            <v>0.9</v>
          </cell>
          <cell r="G19">
            <v>0.76919999999999999</v>
          </cell>
          <cell r="H19">
            <v>0.84</v>
          </cell>
          <cell r="I19">
            <v>0.93548387096774188</v>
          </cell>
          <cell r="L19">
            <v>1</v>
          </cell>
          <cell r="O19">
            <v>0.95238095238095233</v>
          </cell>
        </row>
        <row r="22">
          <cell r="F22">
            <v>1</v>
          </cell>
          <cell r="G22">
            <v>0.88570000000000004</v>
          </cell>
          <cell r="H22">
            <v>0.98</v>
          </cell>
          <cell r="I22">
            <v>0.90700000000000003</v>
          </cell>
          <cell r="L22">
            <v>0.81799999999999995</v>
          </cell>
          <cell r="O22">
            <v>0.8699551569506726</v>
          </cell>
        </row>
        <row r="28">
          <cell r="F28">
            <v>0.98</v>
          </cell>
          <cell r="G28">
            <v>0.95199999999999996</v>
          </cell>
          <cell r="H28" t="e">
            <v>#VALUE!</v>
          </cell>
          <cell r="I28">
            <v>0.94042553191489364</v>
          </cell>
          <cell r="L28">
            <v>0.94312796208530802</v>
          </cell>
          <cell r="O28">
            <v>0.90721649484536082</v>
          </cell>
        </row>
        <row r="32">
          <cell r="F32">
            <v>0.91</v>
          </cell>
          <cell r="G32">
            <v>0.9363636363636364</v>
          </cell>
          <cell r="H32">
            <v>0.96078431372549022</v>
          </cell>
          <cell r="I32">
            <v>0.88073394495412849</v>
          </cell>
          <cell r="L32">
            <v>0.83435582822085885</v>
          </cell>
          <cell r="O32">
            <v>0.87985865724381629</v>
          </cell>
        </row>
      </sheetData>
      <sheetData sheetId="33" refreshError="1"/>
      <sheetData sheetId="34" refreshError="1">
        <row r="10">
          <cell r="E10"/>
          <cell r="F10"/>
          <cell r="G10"/>
          <cell r="I10"/>
          <cell r="J10"/>
          <cell r="K10"/>
          <cell r="L10"/>
          <cell r="N10"/>
          <cell r="O10"/>
          <cell r="P10"/>
          <cell r="Q10"/>
          <cell r="S10"/>
        </row>
        <row r="23">
          <cell r="E23">
            <v>9.6200000000000008E-2</v>
          </cell>
          <cell r="F23">
            <v>0.20630000000000001</v>
          </cell>
          <cell r="G23">
            <v>0.5343</v>
          </cell>
          <cell r="I23">
            <v>0.3484100713884199</v>
          </cell>
          <cell r="J23">
            <v>0.31475911882782759</v>
          </cell>
          <cell r="K23">
            <v>0.48670740872321872</v>
          </cell>
          <cell r="L23">
            <v>0.62978104370983357</v>
          </cell>
          <cell r="N23">
            <v>0.53826020480452774</v>
          </cell>
          <cell r="O23">
            <v>0.32186845478091197</v>
          </cell>
          <cell r="P23">
            <v>0.48316061080221384</v>
          </cell>
          <cell r="Q23">
            <v>0.62969537590808811</v>
          </cell>
          <cell r="S23">
            <v>0.53854067524322946</v>
          </cell>
        </row>
      </sheetData>
      <sheetData sheetId="35" refreshError="1">
        <row r="7">
          <cell r="H7">
            <v>347</v>
          </cell>
          <cell r="I7">
            <v>190</v>
          </cell>
          <cell r="J7">
            <v>262</v>
          </cell>
          <cell r="K7">
            <v>192</v>
          </cell>
          <cell r="N7">
            <v>199</v>
          </cell>
          <cell r="Q7">
            <v>1703</v>
          </cell>
        </row>
        <row r="10">
          <cell r="G10" t="str">
            <v>n/a</v>
          </cell>
          <cell r="H10" t="str">
            <v>n/a</v>
          </cell>
          <cell r="I10" t="str">
            <v>n/a</v>
          </cell>
          <cell r="J10" t="str">
            <v>n/a</v>
          </cell>
          <cell r="K10">
            <v>104</v>
          </cell>
          <cell r="N10">
            <v>90</v>
          </cell>
          <cell r="Q10">
            <v>233</v>
          </cell>
        </row>
        <row r="11">
          <cell r="H11">
            <v>222.328530259366</v>
          </cell>
          <cell r="I11">
            <v>394.3</v>
          </cell>
          <cell r="J11">
            <v>289.22519083969468</v>
          </cell>
          <cell r="K11">
            <v>400.640625</v>
          </cell>
          <cell r="N11">
            <v>372.76884422110555</v>
          </cell>
        </row>
        <row r="12">
          <cell r="H12">
            <v>4.4978482915953757</v>
          </cell>
          <cell r="I12">
            <v>2.5361399949277201</v>
          </cell>
          <cell r="J12">
            <v>3.4575134935402563</v>
          </cell>
          <cell r="K12">
            <v>2.4960024960024958</v>
          </cell>
          <cell r="N12">
            <v>2.6826276270203961</v>
          </cell>
          <cell r="Q12">
            <v>37.597968870736281</v>
          </cell>
        </row>
        <row r="13">
          <cell r="H13">
            <v>678</v>
          </cell>
          <cell r="I13">
            <v>1251</v>
          </cell>
          <cell r="J13">
            <v>632</v>
          </cell>
          <cell r="K13">
            <v>658</v>
          </cell>
          <cell r="N13">
            <v>1011</v>
          </cell>
          <cell r="Q13">
            <v>213</v>
          </cell>
        </row>
        <row r="16">
          <cell r="K16">
            <v>63</v>
          </cell>
          <cell r="N16">
            <v>125</v>
          </cell>
          <cell r="Q16">
            <v>128</v>
          </cell>
        </row>
        <row r="17">
          <cell r="H17">
            <v>259.18289085545723</v>
          </cell>
          <cell r="I17">
            <v>157.171862509992</v>
          </cell>
          <cell r="J17">
            <v>321.36392405063293</v>
          </cell>
          <cell r="K17">
            <v>306.88145896656533</v>
          </cell>
          <cell r="N17">
            <v>193.67655786350147</v>
          </cell>
          <cell r="Q17">
            <v>174.97652582159625</v>
          </cell>
        </row>
        <row r="18">
          <cell r="H18">
            <v>3.8582793667414044</v>
          </cell>
          <cell r="I18">
            <v>6.3624619828910287</v>
          </cell>
          <cell r="J18">
            <v>3.1117369597542122</v>
          </cell>
          <cell r="K18">
            <v>5.61</v>
          </cell>
          <cell r="N18">
            <v>5.1632474834913973</v>
          </cell>
          <cell r="Q18">
            <v>5.7150523209015294</v>
          </cell>
        </row>
        <row r="19">
          <cell r="H19">
            <v>887</v>
          </cell>
          <cell r="I19">
            <v>6213</v>
          </cell>
          <cell r="J19">
            <v>9283</v>
          </cell>
          <cell r="K19">
            <v>13834</v>
          </cell>
          <cell r="N19">
            <v>14043</v>
          </cell>
          <cell r="Q19">
            <v>4926</v>
          </cell>
        </row>
        <row r="22">
          <cell r="H22" t="str">
            <v>n/a</v>
          </cell>
          <cell r="I22" t="str">
            <v>n/a</v>
          </cell>
          <cell r="J22" t="str">
            <v>n/a</v>
          </cell>
          <cell r="K22">
            <v>550</v>
          </cell>
          <cell r="N22">
            <v>608</v>
          </cell>
          <cell r="Q22">
            <v>428</v>
          </cell>
        </row>
        <row r="23">
          <cell r="H23">
            <v>195.13754227733935</v>
          </cell>
          <cell r="I23">
            <v>29.084017382906808</v>
          </cell>
          <cell r="J23">
            <v>20.64181837767963</v>
          </cell>
          <cell r="K23">
            <v>14.702472170015902</v>
          </cell>
          <cell r="N23">
            <v>13.809940895819981</v>
          </cell>
          <cell r="Q23">
            <v>11.507511165245635</v>
          </cell>
        </row>
        <row r="24">
          <cell r="H24">
            <v>5.1245905238406122</v>
          </cell>
          <cell r="I24">
            <v>34.383145451828732</v>
          </cell>
          <cell r="J24">
            <v>48.445344383095538</v>
          </cell>
          <cell r="K24">
            <v>68.015772343333623</v>
          </cell>
          <cell r="N24">
            <v>72.411606070137623</v>
          </cell>
          <cell r="Q24">
            <v>86.89976361006245</v>
          </cell>
        </row>
        <row r="25">
          <cell r="H25">
            <v>1912</v>
          </cell>
          <cell r="I25">
            <v>7654</v>
          </cell>
          <cell r="J25">
            <v>10178</v>
          </cell>
          <cell r="K25">
            <v>14684</v>
          </cell>
          <cell r="N25">
            <v>15253</v>
          </cell>
          <cell r="Q25">
            <v>6842</v>
          </cell>
        </row>
        <row r="27">
          <cell r="K27">
            <v>717</v>
          </cell>
          <cell r="N27">
            <v>823</v>
          </cell>
          <cell r="Q27">
            <v>789</v>
          </cell>
        </row>
        <row r="29">
          <cell r="H29">
            <v>222.78294979079499</v>
          </cell>
          <cell r="I29">
            <v>59.085184217402663</v>
          </cell>
          <cell r="J29">
            <v>46.226861858911377</v>
          </cell>
          <cell r="K29">
            <v>32.841528193952598</v>
          </cell>
          <cell r="N29">
            <v>30.415065888677638</v>
          </cell>
          <cell r="Q29">
            <v>20.352382344343759</v>
          </cell>
        </row>
        <row r="30">
          <cell r="H30">
            <v>4.4886738457276607</v>
          </cell>
          <cell r="I30">
            <v>16.92471663150819</v>
          </cell>
          <cell r="J30">
            <v>21.632443990078574</v>
          </cell>
          <cell r="K30">
            <v>30.449252973073854</v>
          </cell>
          <cell r="N30">
            <v>32.878442665884926</v>
          </cell>
          <cell r="Q30">
            <v>49.134297060703332</v>
          </cell>
        </row>
      </sheetData>
      <sheetData sheetId="36" refreshError="1">
        <row r="9">
          <cell r="D9">
            <v>144</v>
          </cell>
          <cell r="E9">
            <v>222</v>
          </cell>
          <cell r="F9">
            <v>209</v>
          </cell>
          <cell r="G9">
            <v>181</v>
          </cell>
          <cell r="J9">
            <v>135</v>
          </cell>
        </row>
        <row r="10">
          <cell r="D10">
            <v>96</v>
          </cell>
          <cell r="E10">
            <v>159</v>
          </cell>
          <cell r="F10">
            <v>131</v>
          </cell>
          <cell r="G10">
            <v>116</v>
          </cell>
          <cell r="J10">
            <v>69</v>
          </cell>
        </row>
        <row r="11">
          <cell r="D11">
            <v>0.66666666666666663</v>
          </cell>
          <cell r="E11">
            <v>0.71621621621621623</v>
          </cell>
          <cell r="F11">
            <v>0.62679425837320579</v>
          </cell>
          <cell r="G11">
            <v>0.64088397790055252</v>
          </cell>
          <cell r="J11">
            <v>0.51111111111111107</v>
          </cell>
        </row>
        <row r="12">
          <cell r="M12">
            <v>9</v>
          </cell>
        </row>
        <row r="14">
          <cell r="D14" t="str">
            <v>NA</v>
          </cell>
          <cell r="E14" t="str">
            <v>NA</v>
          </cell>
          <cell r="F14" t="str">
            <v>NA</v>
          </cell>
          <cell r="G14" t="str">
            <v>NA</v>
          </cell>
          <cell r="J14" t="str">
            <v>NA</v>
          </cell>
        </row>
        <row r="16">
          <cell r="D16">
            <v>116</v>
          </cell>
          <cell r="E16">
            <v>571</v>
          </cell>
          <cell r="F16">
            <v>290</v>
          </cell>
          <cell r="G16">
            <v>339</v>
          </cell>
          <cell r="J16">
            <v>264</v>
          </cell>
        </row>
        <row r="18">
          <cell r="D18">
            <v>1.4827586206896552</v>
          </cell>
          <cell r="E18">
            <v>0.8213660245183888</v>
          </cell>
          <cell r="F18">
            <v>1.1965517241379311</v>
          </cell>
        </row>
        <row r="19">
          <cell r="D19">
            <v>172</v>
          </cell>
          <cell r="E19"/>
          <cell r="F19">
            <v>347</v>
          </cell>
          <cell r="G19">
            <v>390</v>
          </cell>
          <cell r="J19">
            <v>403</v>
          </cell>
          <cell r="M19">
            <v>17</v>
          </cell>
        </row>
        <row r="21">
          <cell r="M21">
            <v>0.161</v>
          </cell>
        </row>
        <row r="23">
          <cell r="D23">
            <v>243</v>
          </cell>
          <cell r="E23">
            <v>155</v>
          </cell>
          <cell r="F23">
            <v>135</v>
          </cell>
          <cell r="G23">
            <v>239</v>
          </cell>
          <cell r="J23">
            <v>307</v>
          </cell>
        </row>
        <row r="25">
          <cell r="D25">
            <v>0.26748971193415638</v>
          </cell>
          <cell r="E25">
            <v>0.54838709677419351</v>
          </cell>
          <cell r="F25">
            <v>0.29629629629629628</v>
          </cell>
          <cell r="G25">
            <v>0.41004184100418412</v>
          </cell>
          <cell r="J25">
            <v>0.29967426710097722</v>
          </cell>
          <cell r="M25">
            <v>1E-3</v>
          </cell>
        </row>
        <row r="26">
          <cell r="G26">
            <v>964</v>
          </cell>
        </row>
        <row r="28">
          <cell r="C28" t="str">
            <v>NA</v>
          </cell>
          <cell r="D28" t="str">
            <v>NA</v>
          </cell>
          <cell r="E28" t="str">
            <v>NA</v>
          </cell>
          <cell r="G28" t="str">
            <v>NA</v>
          </cell>
          <cell r="J28" t="str">
            <v>NA</v>
          </cell>
        </row>
        <row r="30">
          <cell r="D30">
            <v>503</v>
          </cell>
          <cell r="E30">
            <v>948</v>
          </cell>
          <cell r="F30">
            <v>634</v>
          </cell>
          <cell r="G30">
            <v>759</v>
          </cell>
          <cell r="J30">
            <v>706</v>
          </cell>
        </row>
        <row r="31">
          <cell r="D31">
            <v>333</v>
          </cell>
          <cell r="E31">
            <v>713</v>
          </cell>
          <cell r="F31">
            <v>518</v>
          </cell>
          <cell r="G31">
            <v>604</v>
          </cell>
          <cell r="J31">
            <v>564</v>
          </cell>
        </row>
        <row r="32">
          <cell r="D32">
            <v>0.66202783300198809</v>
          </cell>
          <cell r="E32">
            <v>0.75210970464135019</v>
          </cell>
          <cell r="F32">
            <v>0.81703470031545744</v>
          </cell>
          <cell r="G32">
            <v>0.79578392621870886</v>
          </cell>
          <cell r="J32">
            <v>0.79886685552407932</v>
          </cell>
        </row>
        <row r="33">
          <cell r="M33">
            <v>35</v>
          </cell>
        </row>
        <row r="42">
          <cell r="M42">
            <v>0.4</v>
          </cell>
        </row>
        <row r="45">
          <cell r="D45" t="str">
            <v>n/a</v>
          </cell>
          <cell r="E45" t="str">
            <v>n/a</v>
          </cell>
          <cell r="F45" t="str">
            <v>n/a</v>
          </cell>
          <cell r="G45" t="str">
            <v>n/a</v>
          </cell>
          <cell r="J45" t="str">
            <v>n/a</v>
          </cell>
          <cell r="M45">
            <v>0.78260869565217384</v>
          </cell>
        </row>
        <row r="48">
          <cell r="M48">
            <v>0.77302631578947367</v>
          </cell>
        </row>
        <row r="51">
          <cell r="M51">
            <v>0.66200000000000003</v>
          </cell>
        </row>
      </sheetData>
      <sheetData sheetId="37" refreshError="1">
        <row r="10">
          <cell r="F10">
            <v>5936</v>
          </cell>
          <cell r="G10">
            <v>5370</v>
          </cell>
          <cell r="H10">
            <v>4158</v>
          </cell>
          <cell r="I10">
            <v>3780</v>
          </cell>
          <cell r="J10">
            <v>5869</v>
          </cell>
          <cell r="K10">
            <v>46</v>
          </cell>
        </row>
        <row r="14">
          <cell r="F14">
            <v>9850</v>
          </cell>
          <cell r="G14">
            <v>9162</v>
          </cell>
          <cell r="H14">
            <v>14954</v>
          </cell>
          <cell r="I14">
            <v>13287</v>
          </cell>
          <cell r="J14">
            <v>11123</v>
          </cell>
          <cell r="K14">
            <v>304</v>
          </cell>
        </row>
        <row r="18">
          <cell r="F18">
            <v>4737</v>
          </cell>
          <cell r="G18">
            <v>6598</v>
          </cell>
          <cell r="H18">
            <v>11542</v>
          </cell>
          <cell r="I18">
            <v>13391</v>
          </cell>
          <cell r="J18">
            <v>9324</v>
          </cell>
          <cell r="K18">
            <v>85</v>
          </cell>
        </row>
        <row r="25">
          <cell r="F25">
            <v>20523</v>
          </cell>
          <cell r="G25">
            <v>21130</v>
          </cell>
          <cell r="H25">
            <v>30654</v>
          </cell>
          <cell r="I25">
            <v>30458</v>
          </cell>
          <cell r="J25">
            <v>26316</v>
          </cell>
          <cell r="K25">
            <v>435</v>
          </cell>
        </row>
      </sheetData>
      <sheetData sheetId="38" refreshError="1">
        <row r="16">
          <cell r="E16">
            <v>10426.5</v>
          </cell>
          <cell r="F16">
            <v>11786.5</v>
          </cell>
        </row>
      </sheetData>
      <sheetData sheetId="39" refreshError="1">
        <row r="7">
          <cell r="E7">
            <v>811</v>
          </cell>
          <cell r="F7">
            <v>876.5</v>
          </cell>
          <cell r="G7">
            <v>1014.5</v>
          </cell>
          <cell r="H7">
            <v>1003</v>
          </cell>
          <cell r="I7">
            <v>1391</v>
          </cell>
          <cell r="J7">
            <v>966</v>
          </cell>
        </row>
        <row r="9">
          <cell r="E9">
            <v>0.26800000000000002</v>
          </cell>
          <cell r="F9">
            <v>0.24199999999999999</v>
          </cell>
          <cell r="G9">
            <v>0.26</v>
          </cell>
          <cell r="H9">
            <v>0.28000000000000003</v>
          </cell>
          <cell r="I9">
            <v>0.27800000000000002</v>
          </cell>
          <cell r="J9">
            <v>6.6378066378066383E-2</v>
          </cell>
        </row>
        <row r="11">
          <cell r="J11">
            <v>0.21276595744680851</v>
          </cell>
        </row>
        <row r="14">
          <cell r="E14">
            <v>6103</v>
          </cell>
          <cell r="F14">
            <v>6411</v>
          </cell>
          <cell r="G14">
            <v>6543</v>
          </cell>
          <cell r="H14">
            <v>9270</v>
          </cell>
          <cell r="I14">
            <v>6780</v>
          </cell>
          <cell r="J14">
            <v>12714</v>
          </cell>
        </row>
        <row r="16">
          <cell r="E16">
            <v>0.14399999999999999</v>
          </cell>
          <cell r="F16">
            <v>0.14599999999999999</v>
          </cell>
          <cell r="G16">
            <v>0.16</v>
          </cell>
          <cell r="H16">
            <v>0.16</v>
          </cell>
          <cell r="I16">
            <v>0.1366011445633242</v>
          </cell>
          <cell r="J16">
            <v>2.5634765625E-2</v>
          </cell>
        </row>
        <row r="18">
          <cell r="J18">
            <v>7.9429735234215884E-2</v>
          </cell>
        </row>
        <row r="21">
          <cell r="E21">
            <v>3445</v>
          </cell>
          <cell r="F21">
            <v>4478</v>
          </cell>
          <cell r="G21">
            <v>4832.45</v>
          </cell>
          <cell r="H21">
            <v>7191</v>
          </cell>
          <cell r="I21">
            <v>11807</v>
          </cell>
          <cell r="J21">
            <v>9994</v>
          </cell>
        </row>
        <row r="23">
          <cell r="E23">
            <v>0.159</v>
          </cell>
          <cell r="F23">
            <v>0.13600000000000001</v>
          </cell>
          <cell r="G23">
            <v>0.11</v>
          </cell>
          <cell r="H23">
            <v>0.19</v>
          </cell>
          <cell r="I23">
            <v>0.19463087248322147</v>
          </cell>
          <cell r="J23">
            <v>5.1212938005390833E-2</v>
          </cell>
        </row>
        <row r="25">
          <cell r="E25" t="str">
            <v>n/a</v>
          </cell>
          <cell r="F25" t="str">
            <v>n/a</v>
          </cell>
          <cell r="G25" t="str">
            <v>n/a</v>
          </cell>
          <cell r="H25" t="str">
            <v>n/a</v>
          </cell>
          <cell r="I25" t="str">
            <v>n/a</v>
          </cell>
          <cell r="J25">
            <v>0.13138686131386862</v>
          </cell>
        </row>
        <row r="28">
          <cell r="G28">
            <v>12389.95</v>
          </cell>
          <cell r="H28">
            <v>17464</v>
          </cell>
          <cell r="I28">
            <v>19978</v>
          </cell>
          <cell r="J28">
            <v>23674</v>
          </cell>
        </row>
        <row r="30">
          <cell r="E30">
            <v>0.159</v>
          </cell>
          <cell r="F30">
            <v>0.152</v>
          </cell>
          <cell r="G30">
            <v>0.17216321967579654</v>
          </cell>
          <cell r="H30">
            <v>0.17278757482607993</v>
          </cell>
          <cell r="I30" t="e">
            <v>#REF!</v>
          </cell>
          <cell r="J30">
            <v>3.7706317586795678E-2</v>
          </cell>
        </row>
      </sheetData>
      <sheetData sheetId="40" refreshError="1">
        <row r="7">
          <cell r="F7">
            <v>73581</v>
          </cell>
          <cell r="G7">
            <v>80426.83</v>
          </cell>
          <cell r="H7">
            <v>59239</v>
          </cell>
          <cell r="I7">
            <v>56215</v>
          </cell>
          <cell r="J7">
            <v>59864</v>
          </cell>
          <cell r="K7">
            <v>93366</v>
          </cell>
        </row>
        <row r="8">
          <cell r="F8">
            <v>76</v>
          </cell>
          <cell r="G8">
            <v>78</v>
          </cell>
          <cell r="H8">
            <v>75</v>
          </cell>
          <cell r="I8">
            <v>65</v>
          </cell>
          <cell r="J8">
            <v>64</v>
          </cell>
          <cell r="K8">
            <v>84</v>
          </cell>
        </row>
        <row r="10">
          <cell r="F10">
            <v>118686</v>
          </cell>
          <cell r="G10">
            <v>97112</v>
          </cell>
          <cell r="H10">
            <v>97553</v>
          </cell>
          <cell r="I10">
            <v>129852</v>
          </cell>
          <cell r="J10">
            <v>110987.3</v>
          </cell>
          <cell r="K10">
            <v>110394.89</v>
          </cell>
        </row>
        <row r="11">
          <cell r="F11">
            <v>64</v>
          </cell>
          <cell r="G11">
            <v>61</v>
          </cell>
          <cell r="H11">
            <v>48</v>
          </cell>
          <cell r="I11">
            <v>75</v>
          </cell>
          <cell r="J11">
            <v>54</v>
          </cell>
          <cell r="K11">
            <v>63</v>
          </cell>
        </row>
        <row r="14">
          <cell r="F14">
            <v>80793</v>
          </cell>
          <cell r="G14">
            <v>88699</v>
          </cell>
          <cell r="H14">
            <v>97313</v>
          </cell>
          <cell r="I14">
            <v>219272</v>
          </cell>
          <cell r="J14">
            <v>49125</v>
          </cell>
          <cell r="K14">
            <v>50000</v>
          </cell>
        </row>
        <row r="15">
          <cell r="F15">
            <v>109</v>
          </cell>
          <cell r="G15">
            <v>115</v>
          </cell>
          <cell r="H15">
            <v>100</v>
          </cell>
          <cell r="I15">
            <v>204</v>
          </cell>
          <cell r="J15">
            <v>94</v>
          </cell>
          <cell r="K15">
            <v>4</v>
          </cell>
        </row>
        <row r="18">
          <cell r="I18">
            <v>405339</v>
          </cell>
          <cell r="J18">
            <v>207346.15</v>
          </cell>
          <cell r="K18">
            <v>253760.89</v>
          </cell>
        </row>
        <row r="20">
          <cell r="F20">
            <v>249</v>
          </cell>
          <cell r="G20">
            <v>254</v>
          </cell>
          <cell r="H20">
            <v>223</v>
          </cell>
          <cell r="I20">
            <v>344</v>
          </cell>
          <cell r="J20">
            <v>212</v>
          </cell>
          <cell r="K20">
            <v>151</v>
          </cell>
        </row>
      </sheetData>
      <sheetData sheetId="41" refreshError="1"/>
      <sheetData sheetId="42" refreshError="1">
        <row r="8">
          <cell r="C8">
            <v>12</v>
          </cell>
          <cell r="D8">
            <v>6</v>
          </cell>
          <cell r="E8">
            <v>8</v>
          </cell>
          <cell r="F8">
            <v>8</v>
          </cell>
          <cell r="G8">
            <v>10</v>
          </cell>
          <cell r="H8">
            <v>18</v>
          </cell>
        </row>
        <row r="9">
          <cell r="C9">
            <v>85</v>
          </cell>
          <cell r="D9">
            <v>86</v>
          </cell>
          <cell r="E9">
            <v>99</v>
          </cell>
          <cell r="F9">
            <v>83</v>
          </cell>
          <cell r="G9">
            <v>90</v>
          </cell>
          <cell r="H9">
            <v>36</v>
          </cell>
        </row>
      </sheetData>
      <sheetData sheetId="43" refreshError="1"/>
      <sheetData sheetId="44" refreshError="1"/>
      <sheetData sheetId="4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vmKmrWbCCU6tqcl95T8QNusYS5QRevlMn6JsiJvnjo5iTtEM2xjwQa5885MwbRPW" itemId="013NCO5X4VC2MVPFXG6NBIMPTVFQTOONJ6">
      <xxl21:absoluteUrl r:id="rId2"/>
    </xxl21:alternateUrls>
    <sheetNames>
      <sheetName val="Introduction"/>
      <sheetName val="Instructions for data providers"/>
      <sheetName val="Summary GRI, G4, GRESB and SFDR"/>
      <sheetName val="KPIs - MAG (AF)"/>
      <sheetName val="KPIs - MAN"/>
      <sheetName val="KPIs - EMA"/>
      <sheetName val="KPIs - STN"/>
      <sheetName val="Passengers (PAX), Air Traffi"/>
      <sheetName val="Customer Data &amp; Airport Service"/>
      <sheetName val="Customer Health and Safety, All"/>
      <sheetName val="Economic Performance"/>
      <sheetName val="Tax"/>
      <sheetName val="Procurement practices"/>
      <sheetName val="Employee Num. &amp; Contract Type"/>
      <sheetName val="Remuneration"/>
      <sheetName val="Equality 20 21"/>
      <sheetName val="Equality 19 20"/>
      <sheetName val="Equality 18 19"/>
      <sheetName val="Equality 17 18"/>
      <sheetName val="Equality 16 17"/>
      <sheetName val="Diversity and Equal Opportunity"/>
      <sheetName val="Equality Remuneration"/>
      <sheetName val="Occupational H&amp;S"/>
      <sheetName val="H&amp;S and Sickness"/>
      <sheetName val="Employee Dev &amp; Engage"/>
      <sheetName val="Energy"/>
      <sheetName val="Emissions"/>
      <sheetName val="Noise Footprint"/>
      <sheetName val="Noise Procedures"/>
      <sheetName val="Air Quality Monitoring"/>
      <sheetName val="Bird Strikes Monitoring"/>
      <sheetName val="Waste Performance"/>
      <sheetName val="G4-AO4 &amp; 303"/>
      <sheetName val="Water&amp;effluents"/>
      <sheetName val="Land Biodiversity"/>
      <sheetName val="Surface Access"/>
      <sheetName val="Noise Complaints"/>
      <sheetName val="Airport Academies&amp;aerozones T&amp;D"/>
      <sheetName val="Work Placement, Apprentices and"/>
      <sheetName val="Volunteering"/>
      <sheetName val="Employee Volunteering "/>
      <sheetName val="Community and Charity Donations"/>
      <sheetName val="Local community"/>
      <sheetName val="Community outreach&amp;neightbour"/>
      <sheetName val="Payment perf &amp; Customer complai"/>
      <sheetName val="Additional SFDR data"/>
      <sheetName val="Additional GRESB data"/>
    </sheetNames>
    <sheetDataSet>
      <sheetData sheetId="0"/>
      <sheetData sheetId="1"/>
      <sheetData sheetId="2"/>
      <sheetData sheetId="3"/>
      <sheetData sheetId="4"/>
      <sheetData sheetId="5"/>
      <sheetData sheetId="6"/>
      <sheetData sheetId="7">
        <row r="35">
          <cell r="C35">
            <v>175726</v>
          </cell>
          <cell r="D35">
            <v>196622</v>
          </cell>
          <cell r="E35">
            <v>203102</v>
          </cell>
        </row>
        <row r="36">
          <cell r="C36">
            <v>173087</v>
          </cell>
          <cell r="D36">
            <v>180699</v>
          </cell>
          <cell r="E36">
            <v>191618</v>
          </cell>
        </row>
        <row r="37">
          <cell r="C37">
            <v>77148</v>
          </cell>
          <cell r="D37">
            <v>74917</v>
          </cell>
          <cell r="E37">
            <v>75777</v>
          </cell>
        </row>
        <row r="38">
          <cell r="C38">
            <v>425961</v>
          </cell>
          <cell r="D38">
            <v>452238</v>
          </cell>
          <cell r="E38">
            <v>470497</v>
          </cell>
          <cell r="F38">
            <v>482245</v>
          </cell>
          <cell r="G38">
            <v>463921</v>
          </cell>
          <cell r="H38">
            <v>139251</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persons/person.xml><?xml version="1.0" encoding="utf-8"?>
<personList xmlns="http://schemas.microsoft.com/office/spreadsheetml/2018/threadedcomments" xmlns:x="http://schemas.openxmlformats.org/spreadsheetml/2006/main">
  <person displayName="Jonathan Challis" id="{53879152-9FC5-4563-BAC0-93573C0C9405}" userId="Jonathan.Challis@manairport.co.uk" providerId="PeoplePicker"/>
  <person displayName="Adam Freeman" id="{832396B0-9032-4A3F-8568-3191D8A44256}" userId="S::Adam.Freeman@magairports.com::62cdbb27-efb6-4f05-851a-ea90c557b41e" providerId="AD"/>
  <person displayName="Joe Heathcote" id="{47050078-73CA-409C-A02A-343A65646CCA}" userId="S::Joe.Heathcote@magairports.com::2e7689e8-67ef-4053-a783-8a55a097ddb6" providerId="AD"/>
  <person displayName="Nicola Foster" id="{C0E446D3-C8E6-4907-8EFE-A7F8F4217C15}" userId="S::nicola.foster@magairports.com::ea77cdc9-b201-4496-a358-e31c1b843fd9" providerId="AD"/>
  <person displayName="Nicola Rushton" id="{F020EBF8-B291-46F9-84F8-8F1A0986A454}" userId="S::nicola.rushton@magairports.com::f751d4f5-e77e-4bb4-bcce-38f7e5263d8f" providerId="AD"/>
  <person displayName="Rebecca Hardman" id="{881C05B8-9779-48FA-B954-2395D44ED661}" userId="S::rebecca.hardman@magairports.com::59893026-16ee-429e-bc8f-54222b3f6f7e"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26" dT="2021-09-03T12:15:35.79" personId="{832396B0-9032-4A3F-8568-3191D8A44256}" id="{34268A09-6470-424F-AB82-374E7D8DB348}">
    <text>@Jonathan Challis is this consistent with the other data we have?</text>
    <mentions>
      <mention mentionpersonId="{53879152-9FC5-4563-BAC0-93573C0C9405}" mentionId="{7FC0F0D6-99AC-4F01-BF59-D764C0A20D79}" startIndex="0" length="17"/>
    </mentions>
  </threadedComment>
</ThreadedComments>
</file>

<file path=xl/threadedComments/threadedComment2.xml><?xml version="1.0" encoding="utf-8"?>
<ThreadedComments xmlns="http://schemas.microsoft.com/office/spreadsheetml/2018/threadedcomments" xmlns:x="http://schemas.openxmlformats.org/spreadsheetml/2006/main">
  <threadedComment ref="Q66" dT="2025-04-25T17:49:19.66" personId="{C0E446D3-C8E6-4907-8EFE-A7F8F4217C15}" id="{A73C1596-6274-4475-AD48-BBAC0A15FA92}">
    <text>I don't have the breakdown by airport as this is aggregated data from Occupational Health</text>
  </threadedComment>
</ThreadedComments>
</file>

<file path=xl/threadedComments/threadedComment3.xml><?xml version="1.0" encoding="utf-8"?>
<ThreadedComments xmlns="http://schemas.microsoft.com/office/spreadsheetml/2018/threadedcomments" xmlns:x="http://schemas.openxmlformats.org/spreadsheetml/2006/main">
  <threadedComment ref="G5" dT="2023-06-08T13:59:19.07" personId="{F020EBF8-B291-46F9-84F8-8F1A0986A454}" id="{0821DD10-092A-415B-9EA1-346F94F7B722}">
    <text>This type not used</text>
  </threadedComment>
  <threadedComment ref="H6" dT="2024-04-22T15:38:07.42" personId="{F020EBF8-B291-46F9-84F8-8F1A0986A454}" id="{D3BBF81E-C87F-4CD8-ACAB-0E3B75E03699}">
    <text>October 2023 to March 2024</text>
  </threadedComment>
  <threadedComment ref="H6" dT="2024-06-24T09:30:12.36" personId="{881C05B8-9779-48FA-B954-2395D44ED661}" id="{AFD3E3EC-A35B-48D2-A010-5DCE2D74D813}" parentId="{D3BBF81E-C87F-4CD8-ACAB-0E3B75E03699}">
    <text xml:space="preserve">Updated to include April 23 - March 24
</text>
  </threadedComment>
  <threadedComment ref="G7" dT="2023-06-08T13:59:08.65" personId="{F020EBF8-B291-46F9-84F8-8F1A0986A454}" id="{D95738E6-7A01-4A6B-BB3D-A2A481E33B21}">
    <text>This type not used</text>
  </threadedComment>
  <threadedComment ref="G9" dT="2023-06-08T13:58:49.30" personId="{F020EBF8-B291-46F9-84F8-8F1A0986A454}" id="{C63383D4-72E5-465D-B682-52610CDFC853}">
    <text>Some remains on plane to shear off while departing</text>
  </threadedComment>
  <threadedComment ref="H9" dT="2023-06-08T13:58:49.30" personId="{F020EBF8-B291-46F9-84F8-8F1A0986A454}" id="{59EC14AC-B97B-4C10-B18D-ECB99246BA8C}">
    <text>Some remains on plane to shear off while departing</text>
  </threadedComment>
  <threadedComment ref="I9" dT="2023-06-08T13:58:49.30" personId="{F020EBF8-B291-46F9-84F8-8F1A0986A454}" id="{0387146F-BA11-4FBC-A031-4BBC11FA8805}">
    <text>Some remains on plane to shear off while departing</text>
  </threadedComment>
  <threadedComment ref="G12" dT="2023-06-08T13:58:06.63" personId="{F020EBF8-B291-46F9-84F8-8F1A0986A454}" id="{EB0D65EA-24F1-417D-B330-668D9E623CEE}">
    <text>flow meters not available at all outfalls</text>
  </threadedComment>
  <threadedComment ref="H12" dT="2023-06-08T13:58:06.63" personId="{F020EBF8-B291-46F9-84F8-8F1A0986A454}" id="{76373BD2-EAAA-4F0A-971D-AF8A533C24C6}">
    <text>flow meters not available at all outfalls</text>
  </threadedComment>
  <threadedComment ref="G13" dT="2023-06-08T13:54:51.41" personId="{F020EBF8-B291-46F9-84F8-8F1A0986A454}" id="{DE880F67-8ECB-43AC-8EA2-670C53C7B63F}">
    <text>no flow meter installed on TEDs</text>
  </threadedComment>
  <threadedComment ref="H13" dT="2023-06-08T13:54:51.41" personId="{F020EBF8-B291-46F9-84F8-8F1A0986A454}" id="{F3639934-2424-4F87-AFC5-3D2E7654DA8B}">
    <text>no flow meter installed on TEDs</text>
  </threadedComment>
  <threadedComment ref="G19" dT="2023-06-05T09:22:13.38" personId="{47050078-73CA-409C-A02A-343A65646CCA}" id="{78BDC6EA-7B7A-47EF-B73D-28C82B5BF134}">
    <text>Andrew Doggart</text>
  </threadedComment>
  <threadedComment ref="G19" dT="2023-06-05T09:26:09.47" personId="{47050078-73CA-409C-A02A-343A65646CCA}" id="{F9BAA43B-05BA-4178-BC78-FBFFF5C4D384}" parentId="{78BDC6EA-7B7A-47EF-B73D-28C82B5BF134}">
    <text xml:space="preserve">Pond B - two breaches. Two samples failed - road car park and other surface that drain into a balance pond without water supply and we are manually operating an outlet to manage weather/suspended solids being washed off the catchment. Rain occurs when not forecast or at 2am outside general checks so can not guarantee compliance. Andrew Doggart. Raised capital project - increase solar ponels/wind turbine to monitor water quality. </text>
  </threadedComment>
  <threadedComment ref="B25" dT="2023-06-05T09:18:57.69" personId="{47050078-73CA-409C-A02A-343A65646CCA}" id="{55968B2A-FBBA-44F0-B150-C2E8E7F0FC0E}">
    <text xml:space="preserve">Nathan Masters
</text>
  </threadedComment>
  <threadedComment ref="C49" dT="2023-06-09T15:13:33.38" personId="{47050078-73CA-409C-A02A-343A65646CCA}" id="{D19D1021-C208-4BCE-AE27-B4D321FFA609}">
    <text>Check once audit has been completed</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8" Type="http://schemas.microsoft.com/office/2017/10/relationships/threadedComment" Target="../threadedComments/threadedComment1.xml"/><Relationship Id="rId3" Type="http://schemas.openxmlformats.org/officeDocument/2006/relationships/hyperlink" Target="https://www.magairports.com/media/1833/tax-strategy-fy23.pdf" TargetMode="External"/><Relationship Id="rId7" Type="http://schemas.openxmlformats.org/officeDocument/2006/relationships/comments" Target="../comments2.xml"/><Relationship Id="rId2" Type="http://schemas.openxmlformats.org/officeDocument/2006/relationships/hyperlink" Target="https://www.magairports.com/media/1712/tax-strategy-fy21.pdf" TargetMode="External"/><Relationship Id="rId1" Type="http://schemas.openxmlformats.org/officeDocument/2006/relationships/hyperlink" Target="https://www.magairports.com/media/1712/tax-strategy-fy21.pdf" TargetMode="External"/><Relationship Id="rId6" Type="http://schemas.openxmlformats.org/officeDocument/2006/relationships/vmlDrawing" Target="../drawings/vmlDrawing6.vml"/><Relationship Id="rId5" Type="http://schemas.openxmlformats.org/officeDocument/2006/relationships/hyperlink" Target="https://assets.live.dxp.maginfrastructure.com/f/73114/x/9dc59eb2fc/mag_policies-and-statements_tax-strategy-fy25_v1.docx" TargetMode="External"/><Relationship Id="rId4" Type="http://schemas.openxmlformats.org/officeDocument/2006/relationships/hyperlink" Target="https://assets.live.dxp.maginfrastructure.com/f/73114/x/82a949eb96/tax-strategy-fy24-v1-0.pdf" TargetMode="Externa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7.bin"/><Relationship Id="rId4" Type="http://schemas.microsoft.com/office/2017/10/relationships/threadedComment" Target="../threadedComments/threadedComment2.xm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23.bin"/><Relationship Id="rId5" Type="http://schemas.microsoft.com/office/2017/10/relationships/threadedComment" Target="../threadedComments/threadedComment3.xml"/><Relationship Id="rId4" Type="http://schemas.openxmlformats.org/officeDocument/2006/relationships/comments" Target="../comments4.xml"/></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25.bin"/><Relationship Id="rId4" Type="http://schemas.openxmlformats.org/officeDocument/2006/relationships/comments" Target="../comments5.xml"/></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0479F-F24E-4110-9CA5-EEFE5D0D3B23}">
  <sheetPr codeName="Sheet1"/>
  <dimension ref="B1:K9"/>
  <sheetViews>
    <sheetView showGridLines="0" workbookViewId="0">
      <selection activeCell="B9" sqref="B9:K9"/>
    </sheetView>
  </sheetViews>
  <sheetFormatPr defaultRowHeight="14.45"/>
  <cols>
    <col min="1" max="1" width="3.5703125" customWidth="1"/>
  </cols>
  <sheetData>
    <row r="1" spans="2:11" ht="17.45">
      <c r="B1" s="3433" t="s">
        <v>0</v>
      </c>
      <c r="C1" s="3433"/>
      <c r="D1" s="3433"/>
      <c r="E1" s="3433"/>
      <c r="F1" s="3433"/>
      <c r="G1" s="3433"/>
      <c r="H1" s="3433"/>
      <c r="I1" s="3433"/>
      <c r="J1" s="3433"/>
      <c r="K1" s="10"/>
    </row>
    <row r="2" spans="2:11">
      <c r="B2" s="8"/>
      <c r="C2" s="8"/>
      <c r="D2" s="8"/>
      <c r="E2" s="8"/>
      <c r="F2" s="8"/>
      <c r="G2" s="8"/>
      <c r="H2" s="8"/>
      <c r="I2" s="8"/>
      <c r="J2" s="8"/>
      <c r="K2" s="8"/>
    </row>
    <row r="3" spans="2:11" ht="15" customHeight="1">
      <c r="B3" s="3434" t="s">
        <v>1</v>
      </c>
      <c r="C3" s="3432"/>
      <c r="D3" s="3432"/>
      <c r="E3" s="3432"/>
      <c r="F3" s="3432"/>
      <c r="G3" s="3432"/>
      <c r="H3" s="3432"/>
      <c r="I3" s="3432"/>
      <c r="J3" s="3432"/>
      <c r="K3" s="3432"/>
    </row>
    <row r="4" spans="2:11">
      <c r="B4" s="3432"/>
      <c r="C4" s="3432"/>
      <c r="D4" s="3432"/>
      <c r="E4" s="3432"/>
      <c r="F4" s="3432"/>
      <c r="G4" s="3432"/>
      <c r="H4" s="3432"/>
      <c r="I4" s="3432"/>
      <c r="J4" s="3432"/>
      <c r="K4" s="3432"/>
    </row>
    <row r="5" spans="2:11">
      <c r="B5" s="3432"/>
      <c r="C5" s="3432"/>
      <c r="D5" s="3432"/>
      <c r="E5" s="3432"/>
      <c r="F5" s="3432"/>
      <c r="G5" s="3432"/>
      <c r="H5" s="3432"/>
      <c r="I5" s="3432"/>
      <c r="J5" s="3432"/>
      <c r="K5" s="3432"/>
    </row>
    <row r="6" spans="2:11">
      <c r="B6" s="3432"/>
      <c r="C6" s="3432"/>
      <c r="D6" s="3432"/>
      <c r="E6" s="3432"/>
      <c r="F6" s="3432"/>
      <c r="G6" s="3432"/>
      <c r="H6" s="3432"/>
      <c r="I6" s="3432"/>
      <c r="J6" s="3432"/>
      <c r="K6" s="3432"/>
    </row>
    <row r="7" spans="2:11">
      <c r="B7" s="3432"/>
      <c r="C7" s="3432"/>
      <c r="D7" s="3432"/>
      <c r="E7" s="3432"/>
      <c r="F7" s="3432"/>
      <c r="G7" s="3432"/>
      <c r="H7" s="3432"/>
      <c r="I7" s="3432"/>
      <c r="J7" s="3432"/>
      <c r="K7" s="3432"/>
    </row>
    <row r="8" spans="2:11" ht="48" customHeight="1">
      <c r="B8" s="3432"/>
      <c r="C8" s="3432"/>
      <c r="D8" s="3432"/>
      <c r="E8" s="3432"/>
      <c r="F8" s="3432"/>
      <c r="G8" s="3432"/>
      <c r="H8" s="3432"/>
      <c r="I8" s="3432"/>
      <c r="J8" s="3432"/>
      <c r="K8" s="3432"/>
    </row>
    <row r="9" spans="2:11" ht="36" customHeight="1">
      <c r="B9" s="3432"/>
      <c r="C9" s="3432"/>
      <c r="D9" s="3432"/>
      <c r="E9" s="3432"/>
      <c r="F9" s="3432"/>
      <c r="G9" s="3432"/>
      <c r="H9" s="3432"/>
      <c r="I9" s="3432"/>
      <c r="J9" s="3432"/>
      <c r="K9" s="3432"/>
    </row>
  </sheetData>
  <mergeCells count="3">
    <mergeCell ref="B9:K9"/>
    <mergeCell ref="B1:J1"/>
    <mergeCell ref="B3:K8"/>
  </mergeCells>
  <pageMargins left="0.7" right="0.7" top="0.75" bottom="0.75" header="0.3" footer="0.3"/>
  <pageSetup paperSize="9" orientation="portrait" r:id="rId1"/>
  <headerFooter>
    <oddFooter>&amp;C_x000D_&amp;1#&amp;"Calibri"&amp;10&amp;K000000 C2 - Internal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C4A4F-07FC-4EDE-9432-5555D2BF89B1}">
  <sheetPr codeName="Sheet11">
    <tabColor theme="0"/>
  </sheetPr>
  <dimension ref="A1:I15"/>
  <sheetViews>
    <sheetView showGridLines="0" zoomScaleNormal="100" workbookViewId="0">
      <pane xSplit="2" topLeftCell="H1" activePane="topRight" state="frozen"/>
      <selection pane="topRight"/>
    </sheetView>
  </sheetViews>
  <sheetFormatPr defaultRowHeight="14.45" outlineLevelCol="1"/>
  <cols>
    <col min="2" max="2" width="96.42578125" customWidth="1"/>
    <col min="3" max="4" width="60.7109375" hidden="1" customWidth="1" outlineLevel="1"/>
    <col min="5" max="5" width="60.7109375" customWidth="1" collapsed="1"/>
    <col min="6" max="6" width="66.140625" customWidth="1"/>
    <col min="7" max="7" width="60.7109375" customWidth="1"/>
    <col min="8" max="8" width="47.28515625" customWidth="1"/>
    <col min="9" max="9" width="53.28515625" customWidth="1"/>
  </cols>
  <sheetData>
    <row r="1" spans="1:9" s="8" customFormat="1" ht="17.45">
      <c r="A1" s="10" t="s">
        <v>214</v>
      </c>
    </row>
    <row r="2" spans="1:9" s="8" customFormat="1" ht="17.45">
      <c r="A2" s="10" t="s">
        <v>215</v>
      </c>
    </row>
    <row r="3" spans="1:9" s="8" customFormat="1" thickBot="1">
      <c r="B3" s="203"/>
    </row>
    <row r="4" spans="1:9" s="8" customFormat="1" ht="34.9" customHeight="1" thickBot="1">
      <c r="A4" s="1848"/>
      <c r="B4" s="1849"/>
      <c r="C4" s="1778" t="s">
        <v>12</v>
      </c>
      <c r="D4" s="1861" t="s">
        <v>13</v>
      </c>
      <c r="E4" s="1778" t="s">
        <v>14</v>
      </c>
      <c r="F4" s="1861" t="s">
        <v>15</v>
      </c>
      <c r="G4" s="1778" t="s">
        <v>16</v>
      </c>
      <c r="H4" s="1811" t="s">
        <v>163</v>
      </c>
      <c r="I4" s="1811" t="s">
        <v>164</v>
      </c>
    </row>
    <row r="5" spans="1:9" s="8" customFormat="1" ht="27.75" customHeight="1">
      <c r="A5" s="3500"/>
      <c r="B5" s="1850" t="s">
        <v>216</v>
      </c>
      <c r="C5" s="1856"/>
      <c r="D5" s="1862"/>
      <c r="E5" s="1856"/>
      <c r="F5" s="1862"/>
      <c r="G5" s="1856"/>
      <c r="H5" s="1851"/>
      <c r="I5" s="1851"/>
    </row>
    <row r="6" spans="1:9">
      <c r="A6" s="3501"/>
      <c r="B6" s="2229" t="s">
        <v>217</v>
      </c>
      <c r="C6" s="1866" t="s">
        <v>218</v>
      </c>
      <c r="D6" s="1863" t="s">
        <v>218</v>
      </c>
      <c r="E6" s="1866" t="s">
        <v>218</v>
      </c>
      <c r="F6" s="1863" t="s">
        <v>219</v>
      </c>
      <c r="G6" s="1857" t="s">
        <v>219</v>
      </c>
      <c r="H6" s="1852" t="s">
        <v>219</v>
      </c>
      <c r="I6" s="3133" t="s">
        <v>218</v>
      </c>
    </row>
    <row r="7" spans="1:9">
      <c r="A7" s="3501"/>
      <c r="B7" s="2229" t="s">
        <v>220</v>
      </c>
      <c r="C7" s="1866" t="s">
        <v>218</v>
      </c>
      <c r="D7" s="1863" t="s">
        <v>218</v>
      </c>
      <c r="E7" s="1866" t="s">
        <v>218</v>
      </c>
      <c r="F7" s="1863" t="s">
        <v>218</v>
      </c>
      <c r="G7" s="1858" t="s">
        <v>219</v>
      </c>
      <c r="H7" s="1853" t="s">
        <v>219</v>
      </c>
      <c r="I7" s="3133" t="s">
        <v>221</v>
      </c>
    </row>
    <row r="8" spans="1:9" ht="16.5" customHeight="1">
      <c r="A8" s="3501"/>
      <c r="B8" s="2229" t="s">
        <v>222</v>
      </c>
      <c r="C8" s="1867" t="s">
        <v>223</v>
      </c>
      <c r="D8" s="1864" t="s">
        <v>224</v>
      </c>
      <c r="E8" s="1867" t="s">
        <v>225</v>
      </c>
      <c r="F8" s="1864" t="s">
        <v>218</v>
      </c>
      <c r="G8" s="1859" t="s">
        <v>218</v>
      </c>
      <c r="H8" s="1854" t="s">
        <v>218</v>
      </c>
      <c r="I8" s="1854" t="s">
        <v>218</v>
      </c>
    </row>
    <row r="9" spans="1:9">
      <c r="A9" s="3501"/>
      <c r="B9" s="2229" t="s">
        <v>226</v>
      </c>
      <c r="C9" s="1867" t="s">
        <v>218</v>
      </c>
      <c r="D9" s="1864" t="s">
        <v>218</v>
      </c>
      <c r="E9" s="1867" t="s">
        <v>218</v>
      </c>
      <c r="F9" s="1864" t="s">
        <v>218</v>
      </c>
      <c r="G9" s="1859" t="s">
        <v>218</v>
      </c>
      <c r="H9" s="1854" t="s">
        <v>218</v>
      </c>
      <c r="I9" s="1854" t="s">
        <v>218</v>
      </c>
    </row>
    <row r="10" spans="1:9">
      <c r="A10" s="3501"/>
      <c r="B10" s="2229" t="s">
        <v>227</v>
      </c>
      <c r="C10" s="1867" t="s">
        <v>218</v>
      </c>
      <c r="D10" s="1864" t="s">
        <v>218</v>
      </c>
      <c r="E10" s="1867" t="s">
        <v>218</v>
      </c>
      <c r="F10" s="1864" t="s">
        <v>218</v>
      </c>
      <c r="G10" s="1859" t="s">
        <v>218</v>
      </c>
      <c r="H10" s="1854" t="s">
        <v>218</v>
      </c>
      <c r="I10" s="1854" t="s">
        <v>218</v>
      </c>
    </row>
    <row r="11" spans="1:9">
      <c r="A11" s="3501"/>
      <c r="B11" s="2229" t="s">
        <v>228</v>
      </c>
      <c r="C11" s="1867" t="s">
        <v>218</v>
      </c>
      <c r="D11" s="1864" t="s">
        <v>218</v>
      </c>
      <c r="E11" s="1867" t="s">
        <v>218</v>
      </c>
      <c r="F11" s="1864" t="s">
        <v>218</v>
      </c>
      <c r="G11" s="1859" t="s">
        <v>218</v>
      </c>
      <c r="H11" s="1854" t="s">
        <v>218</v>
      </c>
      <c r="I11" s="1854" t="s">
        <v>218</v>
      </c>
    </row>
    <row r="12" spans="1:9">
      <c r="A12" s="3501"/>
      <c r="B12" s="2229" t="s">
        <v>229</v>
      </c>
      <c r="C12" s="1867" t="s">
        <v>218</v>
      </c>
      <c r="D12" s="1864" t="s">
        <v>218</v>
      </c>
      <c r="E12" s="1867" t="s">
        <v>218</v>
      </c>
      <c r="F12" s="1864" t="s">
        <v>218</v>
      </c>
      <c r="G12" s="1859" t="s">
        <v>218</v>
      </c>
      <c r="H12" s="1854" t="s">
        <v>218</v>
      </c>
      <c r="I12" s="1854" t="s">
        <v>218</v>
      </c>
    </row>
    <row r="13" spans="1:9" ht="14.25" customHeight="1">
      <c r="A13" s="3501"/>
      <c r="B13" s="2229" t="s">
        <v>230</v>
      </c>
      <c r="C13" s="1867" t="s">
        <v>218</v>
      </c>
      <c r="D13" s="1864" t="s">
        <v>218</v>
      </c>
      <c r="E13" s="1867" t="s">
        <v>218</v>
      </c>
      <c r="F13" s="1864" t="s">
        <v>231</v>
      </c>
      <c r="G13" s="1859" t="s">
        <v>218</v>
      </c>
      <c r="H13" s="1854" t="s">
        <v>218</v>
      </c>
      <c r="I13" s="1854" t="s">
        <v>218</v>
      </c>
    </row>
    <row r="14" spans="1:9">
      <c r="A14" s="3501"/>
      <c r="B14" s="2230" t="s">
        <v>232</v>
      </c>
      <c r="C14" s="1867" t="s">
        <v>233</v>
      </c>
      <c r="D14" s="1864" t="s">
        <v>233</v>
      </c>
      <c r="E14" s="1867" t="s">
        <v>233</v>
      </c>
      <c r="F14" s="1864" t="s">
        <v>234</v>
      </c>
      <c r="G14" s="1859" t="s">
        <v>235</v>
      </c>
      <c r="H14" s="1854" t="s">
        <v>235</v>
      </c>
      <c r="I14" s="1854" t="s">
        <v>235</v>
      </c>
    </row>
    <row r="15" spans="1:9" ht="48" customHeight="1" thickBot="1">
      <c r="A15" s="3502"/>
      <c r="B15" s="2231" t="s">
        <v>236</v>
      </c>
      <c r="C15" s="1868" t="s">
        <v>237</v>
      </c>
      <c r="D15" s="1865" t="s">
        <v>237</v>
      </c>
      <c r="E15" s="1868" t="s">
        <v>237</v>
      </c>
      <c r="F15" s="1865" t="s">
        <v>237</v>
      </c>
      <c r="G15" s="1860" t="s">
        <v>237</v>
      </c>
      <c r="H15" s="1855" t="s">
        <v>237</v>
      </c>
      <c r="I15" s="1855" t="s">
        <v>237</v>
      </c>
    </row>
  </sheetData>
  <mergeCells count="1">
    <mergeCell ref="A5:A15"/>
  </mergeCells>
  <pageMargins left="0.25" right="0.25" top="0.75" bottom="0.75" header="0.3" footer="0.3"/>
  <pageSetup paperSize="8" orientation="landscape" r:id="rId1"/>
  <headerFooter>
    <oddFooter>&amp;C_x000D_&amp;1#&amp;"Calibri"&amp;10&amp;K000000 C2 - Internal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A26FE-7BA4-4CE0-A3BF-BBBBE4C2ABCA}">
  <sheetPr codeName="Sheet12">
    <tabColor theme="0"/>
  </sheetPr>
  <dimension ref="A1:AY42"/>
  <sheetViews>
    <sheetView showGridLines="0" workbookViewId="0">
      <pane xSplit="2" topLeftCell="X1" activePane="topRight" state="frozen"/>
      <selection pane="topRight"/>
    </sheetView>
  </sheetViews>
  <sheetFormatPr defaultColWidth="8.85546875" defaultRowHeight="13.9"/>
  <cols>
    <col min="1" max="1" width="7.140625" style="34" customWidth="1"/>
    <col min="2" max="2" width="29" style="49" customWidth="1"/>
    <col min="3" max="23" width="11.7109375" style="34" hidden="1" customWidth="1"/>
    <col min="24" max="51" width="11.7109375" style="34" customWidth="1"/>
    <col min="52" max="16384" width="8.85546875" style="34"/>
  </cols>
  <sheetData>
    <row r="1" spans="1:51" ht="17.45">
      <c r="A1" s="53" t="s">
        <v>238</v>
      </c>
      <c r="C1" s="33"/>
      <c r="D1" s="33"/>
      <c r="E1" s="33"/>
      <c r="F1" s="33"/>
      <c r="G1" s="33"/>
      <c r="H1" s="33"/>
      <c r="I1" s="33"/>
      <c r="J1" s="33"/>
      <c r="K1" s="33"/>
      <c r="L1" s="33"/>
      <c r="M1" s="33"/>
    </row>
    <row r="2" spans="1:51" ht="22.5" customHeight="1">
      <c r="A2" s="10" t="s">
        <v>239</v>
      </c>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row>
    <row r="3" spans="1:51" ht="17.45">
      <c r="B3" s="26"/>
      <c r="C3" s="35"/>
      <c r="D3" s="35"/>
      <c r="E3" s="35"/>
      <c r="F3" s="35"/>
      <c r="G3" s="35"/>
      <c r="H3" s="35"/>
      <c r="I3" s="35"/>
      <c r="J3" s="35"/>
      <c r="K3" s="35"/>
      <c r="L3" s="35"/>
      <c r="M3" s="35"/>
    </row>
    <row r="4" spans="1:51" ht="14.25" customHeight="1">
      <c r="A4" s="3518" t="s">
        <v>240</v>
      </c>
      <c r="B4" s="3518"/>
      <c r="C4" s="3518"/>
      <c r="D4" s="3518"/>
      <c r="E4" s="3518"/>
      <c r="F4" s="3518"/>
      <c r="G4" s="3518"/>
      <c r="H4" s="3518"/>
      <c r="I4" s="3518"/>
      <c r="J4" s="3518"/>
      <c r="K4" s="3518"/>
      <c r="L4" s="3518"/>
      <c r="M4" s="3518"/>
      <c r="N4" s="3518"/>
      <c r="O4" s="3518"/>
      <c r="P4" s="3518"/>
      <c r="Q4" s="3518"/>
      <c r="R4" s="3518"/>
      <c r="S4" s="3518"/>
      <c r="T4" s="3518"/>
      <c r="U4" s="3518"/>
      <c r="V4" s="3518"/>
      <c r="W4" s="3518"/>
    </row>
    <row r="5" spans="1:51" ht="14.25" customHeight="1">
      <c r="A5" s="3519" t="s">
        <v>241</v>
      </c>
      <c r="B5" s="3520"/>
      <c r="C5" s="3520"/>
      <c r="D5" s="3520"/>
      <c r="E5" s="3520"/>
      <c r="F5" s="3520"/>
      <c r="G5" s="3520"/>
      <c r="H5" s="3520"/>
      <c r="I5" s="3520"/>
      <c r="J5" s="3520"/>
      <c r="K5" s="3520"/>
      <c r="L5" s="3520"/>
      <c r="M5" s="3520"/>
      <c r="N5" s="3520"/>
      <c r="O5" s="3520"/>
      <c r="P5" s="3520"/>
      <c r="Q5" s="3520"/>
      <c r="R5" s="3520"/>
      <c r="S5" s="3520"/>
      <c r="T5" s="3520"/>
      <c r="U5" s="3520"/>
      <c r="V5" s="3520"/>
    </row>
    <row r="6" spans="1:51" ht="27" customHeight="1">
      <c r="A6" s="3519"/>
      <c r="B6" s="3520"/>
      <c r="C6" s="3520"/>
      <c r="D6" s="3520"/>
      <c r="E6" s="3520"/>
      <c r="F6" s="3520"/>
      <c r="G6" s="3520"/>
      <c r="H6" s="3520"/>
      <c r="I6" s="3520"/>
      <c r="J6" s="3520"/>
      <c r="K6" s="3520"/>
      <c r="L6" s="3520"/>
      <c r="M6" s="3520"/>
      <c r="N6" s="3520"/>
      <c r="O6" s="3520"/>
      <c r="P6" s="3520"/>
      <c r="Q6" s="3520"/>
      <c r="R6" s="3520"/>
      <c r="S6" s="3520"/>
      <c r="T6" s="3520"/>
      <c r="U6" s="3520"/>
      <c r="V6" s="3520"/>
    </row>
    <row r="7" spans="1:51" ht="15" thickBot="1">
      <c r="B7" s="3521"/>
      <c r="C7" s="3521"/>
      <c r="D7" s="3521"/>
      <c r="E7" s="3521"/>
      <c r="F7" s="3521"/>
      <c r="G7" s="3521"/>
      <c r="H7" s="3521"/>
      <c r="I7" s="3521"/>
      <c r="J7" s="3521"/>
      <c r="K7" s="3521"/>
      <c r="L7" s="3521"/>
      <c r="M7" s="3521"/>
      <c r="N7" s="3521"/>
      <c r="O7" s="3521"/>
      <c r="P7" s="3521"/>
      <c r="Q7" s="3521"/>
      <c r="R7" s="201"/>
      <c r="S7" s="201"/>
      <c r="T7" s="201"/>
      <c r="U7" s="201"/>
      <c r="V7" s="201"/>
      <c r="W7" s="201"/>
    </row>
    <row r="8" spans="1:51" ht="14.45">
      <c r="A8" s="3522"/>
      <c r="B8" s="29"/>
      <c r="C8" s="3541" t="s">
        <v>12</v>
      </c>
      <c r="D8" s="3504"/>
      <c r="E8" s="3504"/>
      <c r="F8" s="3504"/>
      <c r="G8" s="3504"/>
      <c r="H8" s="3504"/>
      <c r="I8" s="3505"/>
      <c r="J8" s="3541" t="s">
        <v>13</v>
      </c>
      <c r="K8" s="3504"/>
      <c r="L8" s="3504"/>
      <c r="M8" s="3504"/>
      <c r="N8" s="3504"/>
      <c r="O8" s="3504"/>
      <c r="P8" s="3505"/>
      <c r="Q8" s="3541" t="s">
        <v>14</v>
      </c>
      <c r="R8" s="3504"/>
      <c r="S8" s="3504"/>
      <c r="T8" s="3504"/>
      <c r="U8" s="3504"/>
      <c r="V8" s="3504"/>
      <c r="W8" s="3505"/>
      <c r="X8" s="3506" t="s">
        <v>15</v>
      </c>
      <c r="Y8" s="3507"/>
      <c r="Z8" s="3507"/>
      <c r="AA8" s="3507"/>
      <c r="AB8" s="3507"/>
      <c r="AC8" s="3507"/>
      <c r="AD8" s="3508"/>
      <c r="AE8" s="3506" t="s">
        <v>16</v>
      </c>
      <c r="AF8" s="3507"/>
      <c r="AG8" s="3507"/>
      <c r="AH8" s="3507"/>
      <c r="AI8" s="3507"/>
      <c r="AJ8" s="3507"/>
      <c r="AK8" s="3508"/>
      <c r="AL8" s="3506" t="s">
        <v>163</v>
      </c>
      <c r="AM8" s="3507"/>
      <c r="AN8" s="3507"/>
      <c r="AO8" s="3507"/>
      <c r="AP8" s="3507"/>
      <c r="AQ8" s="3507"/>
      <c r="AR8" s="3508"/>
      <c r="AS8" s="3506" t="s">
        <v>164</v>
      </c>
      <c r="AT8" s="3507"/>
      <c r="AU8" s="3507"/>
      <c r="AV8" s="3507"/>
      <c r="AW8" s="3507"/>
      <c r="AX8" s="3507"/>
      <c r="AY8" s="3508"/>
    </row>
    <row r="9" spans="1:51" ht="15" thickBot="1">
      <c r="A9" s="3523"/>
      <c r="B9" s="34"/>
      <c r="C9" s="3515" t="s">
        <v>242</v>
      </c>
      <c r="D9" s="3516"/>
      <c r="E9" s="3516"/>
      <c r="F9" s="3516"/>
      <c r="G9" s="3516"/>
      <c r="H9" s="3516"/>
      <c r="I9" s="3517"/>
      <c r="J9" s="3509" t="s">
        <v>242</v>
      </c>
      <c r="K9" s="3510"/>
      <c r="L9" s="3510"/>
      <c r="M9" s="3510"/>
      <c r="N9" s="3510"/>
      <c r="O9" s="3510"/>
      <c r="P9" s="3510"/>
      <c r="Q9" s="3509" t="s">
        <v>242</v>
      </c>
      <c r="R9" s="3510"/>
      <c r="S9" s="3510"/>
      <c r="T9" s="3510"/>
      <c r="U9" s="3510"/>
      <c r="V9" s="3510"/>
      <c r="W9" s="3511"/>
      <c r="X9" s="3539" t="s">
        <v>242</v>
      </c>
      <c r="Y9" s="3510"/>
      <c r="Z9" s="3510"/>
      <c r="AA9" s="3510"/>
      <c r="AB9" s="3510"/>
      <c r="AC9" s="3510"/>
      <c r="AD9" s="3511"/>
      <c r="AE9" s="3509" t="s">
        <v>242</v>
      </c>
      <c r="AF9" s="3510"/>
      <c r="AG9" s="3510"/>
      <c r="AH9" s="3510"/>
      <c r="AI9" s="3510"/>
      <c r="AJ9" s="3510"/>
      <c r="AK9" s="3511"/>
      <c r="AL9" s="3509" t="s">
        <v>242</v>
      </c>
      <c r="AM9" s="3510"/>
      <c r="AN9" s="3510"/>
      <c r="AO9" s="3510"/>
      <c r="AP9" s="3510"/>
      <c r="AQ9" s="3510"/>
      <c r="AR9" s="3511"/>
      <c r="AS9" s="3509" t="s">
        <v>242</v>
      </c>
      <c r="AT9" s="3510"/>
      <c r="AU9" s="3510"/>
      <c r="AV9" s="3510"/>
      <c r="AW9" s="3510"/>
      <c r="AX9" s="3510"/>
      <c r="AY9" s="3511"/>
    </row>
    <row r="10" spans="1:51" ht="30.6">
      <c r="A10" s="3524"/>
      <c r="B10" s="598" t="s">
        <v>243</v>
      </c>
      <c r="C10" s="596" t="s">
        <v>244</v>
      </c>
      <c r="D10" s="60" t="s">
        <v>245</v>
      </c>
      <c r="E10" s="60" t="s">
        <v>246</v>
      </c>
      <c r="F10" s="60" t="s">
        <v>247</v>
      </c>
      <c r="G10" s="60" t="s">
        <v>248</v>
      </c>
      <c r="H10" s="60" t="s">
        <v>249</v>
      </c>
      <c r="I10" s="96" t="s">
        <v>250</v>
      </c>
      <c r="J10" s="108" t="s">
        <v>244</v>
      </c>
      <c r="K10" s="85" t="s">
        <v>245</v>
      </c>
      <c r="L10" s="85" t="s">
        <v>246</v>
      </c>
      <c r="M10" s="85" t="s">
        <v>247</v>
      </c>
      <c r="N10" s="85" t="s">
        <v>248</v>
      </c>
      <c r="O10" s="85" t="s">
        <v>249</v>
      </c>
      <c r="P10" s="109" t="s">
        <v>250</v>
      </c>
      <c r="Q10" s="95" t="s">
        <v>244</v>
      </c>
      <c r="R10" s="60" t="s">
        <v>245</v>
      </c>
      <c r="S10" s="60" t="s">
        <v>246</v>
      </c>
      <c r="T10" s="60" t="s">
        <v>247</v>
      </c>
      <c r="U10" s="60" t="s">
        <v>248</v>
      </c>
      <c r="V10" s="60" t="s">
        <v>249</v>
      </c>
      <c r="W10" s="96" t="s">
        <v>250</v>
      </c>
      <c r="X10" s="95" t="s">
        <v>244</v>
      </c>
      <c r="Y10" s="60" t="s">
        <v>245</v>
      </c>
      <c r="Z10" s="60" t="s">
        <v>246</v>
      </c>
      <c r="AA10" s="60" t="s">
        <v>247</v>
      </c>
      <c r="AB10" s="60" t="s">
        <v>248</v>
      </c>
      <c r="AC10" s="60" t="s">
        <v>249</v>
      </c>
      <c r="AD10" s="96" t="s">
        <v>250</v>
      </c>
      <c r="AE10" s="95" t="s">
        <v>244</v>
      </c>
      <c r="AF10" s="60" t="s">
        <v>245</v>
      </c>
      <c r="AG10" s="60" t="s">
        <v>246</v>
      </c>
      <c r="AH10" s="60" t="s">
        <v>247</v>
      </c>
      <c r="AI10" s="60" t="s">
        <v>248</v>
      </c>
      <c r="AJ10" s="60" t="s">
        <v>249</v>
      </c>
      <c r="AK10" s="96" t="s">
        <v>250</v>
      </c>
      <c r="AL10" s="95" t="s">
        <v>244</v>
      </c>
      <c r="AM10" s="60" t="s">
        <v>245</v>
      </c>
      <c r="AN10" s="60" t="s">
        <v>246</v>
      </c>
      <c r="AO10" s="60" t="s">
        <v>247</v>
      </c>
      <c r="AP10" s="60" t="s">
        <v>248</v>
      </c>
      <c r="AQ10" s="60" t="s">
        <v>249</v>
      </c>
      <c r="AR10" s="96" t="s">
        <v>250</v>
      </c>
      <c r="AS10" s="95" t="s">
        <v>244</v>
      </c>
      <c r="AT10" s="60" t="s">
        <v>245</v>
      </c>
      <c r="AU10" s="60" t="s">
        <v>246</v>
      </c>
      <c r="AV10" s="60" t="s">
        <v>247</v>
      </c>
      <c r="AW10" s="60" t="s">
        <v>248</v>
      </c>
      <c r="AX10" s="60" t="s">
        <v>249</v>
      </c>
      <c r="AY10" s="96" t="s">
        <v>250</v>
      </c>
    </row>
    <row r="11" spans="1:51">
      <c r="A11" s="3525"/>
      <c r="B11" s="597" t="s">
        <v>251</v>
      </c>
      <c r="C11" s="97" t="s">
        <v>252</v>
      </c>
      <c r="D11" s="36" t="s">
        <v>252</v>
      </c>
      <c r="E11" s="36" t="s">
        <v>252</v>
      </c>
      <c r="F11" s="36" t="s">
        <v>252</v>
      </c>
      <c r="G11" s="36" t="s">
        <v>252</v>
      </c>
      <c r="H11" s="36" t="s">
        <v>252</v>
      </c>
      <c r="I11" s="98" t="s">
        <v>252</v>
      </c>
      <c r="J11" s="110">
        <v>1666</v>
      </c>
      <c r="K11" s="87">
        <v>1033</v>
      </c>
      <c r="L11" s="87">
        <v>630</v>
      </c>
      <c r="M11" s="87">
        <v>3</v>
      </c>
      <c r="N11" s="88">
        <v>35615.18</v>
      </c>
      <c r="O11" s="88">
        <v>17.12</v>
      </c>
      <c r="P11" s="111">
        <v>0.96</v>
      </c>
      <c r="Q11" s="97">
        <v>1716</v>
      </c>
      <c r="R11" s="36">
        <v>896</v>
      </c>
      <c r="S11" s="36">
        <v>817</v>
      </c>
      <c r="T11" s="36">
        <v>3</v>
      </c>
      <c r="U11" s="37">
        <v>26730.928303928926</v>
      </c>
      <c r="V11" s="37">
        <v>12.778607226107146</v>
      </c>
      <c r="W11" s="138">
        <v>1</v>
      </c>
      <c r="X11" s="97">
        <v>1832</v>
      </c>
      <c r="Y11" s="36">
        <v>1198</v>
      </c>
      <c r="Z11" s="36">
        <v>631</v>
      </c>
      <c r="AA11" s="36">
        <v>3</v>
      </c>
      <c r="AB11" s="1251">
        <v>18595.55</v>
      </c>
      <c r="AC11" s="37">
        <v>10.49</v>
      </c>
      <c r="AD11" s="138">
        <v>0.97</v>
      </c>
      <c r="AE11" s="97">
        <v>1336</v>
      </c>
      <c r="AF11" s="36">
        <v>768</v>
      </c>
      <c r="AG11" s="36">
        <v>562</v>
      </c>
      <c r="AH11" s="36">
        <v>6</v>
      </c>
      <c r="AI11" s="1251">
        <v>21605.5</v>
      </c>
      <c r="AJ11" s="37">
        <v>11.69</v>
      </c>
      <c r="AK11" s="138">
        <v>0.98</v>
      </c>
      <c r="AL11" s="1043">
        <v>3130</v>
      </c>
      <c r="AM11" s="1044">
        <v>1888</v>
      </c>
      <c r="AN11" s="1044">
        <v>1233</v>
      </c>
      <c r="AO11" s="1044">
        <v>9</v>
      </c>
      <c r="AP11" s="1256">
        <v>27320.85</v>
      </c>
      <c r="AQ11" s="1045">
        <v>12.73</v>
      </c>
      <c r="AR11" s="1046">
        <v>0.99</v>
      </c>
      <c r="AS11" s="1043">
        <v>3346</v>
      </c>
      <c r="AT11" s="1044">
        <v>2231</v>
      </c>
      <c r="AU11" s="1044">
        <v>1111</v>
      </c>
      <c r="AV11" s="1044">
        <v>4</v>
      </c>
      <c r="AW11" s="1256">
        <v>29523.94</v>
      </c>
      <c r="AX11" s="1045">
        <v>13.59</v>
      </c>
      <c r="AY11" s="1046">
        <v>0.99</v>
      </c>
    </row>
    <row r="12" spans="1:51" ht="14.45" thickBot="1">
      <c r="A12" s="3525"/>
      <c r="B12" s="586" t="s">
        <v>253</v>
      </c>
      <c r="C12" s="585" t="s">
        <v>252</v>
      </c>
      <c r="D12" s="36" t="s">
        <v>252</v>
      </c>
      <c r="E12" s="36" t="s">
        <v>252</v>
      </c>
      <c r="F12" s="36" t="s">
        <v>252</v>
      </c>
      <c r="G12" s="36" t="s">
        <v>252</v>
      </c>
      <c r="H12" s="36" t="s">
        <v>252</v>
      </c>
      <c r="I12" s="98" t="s">
        <v>252</v>
      </c>
      <c r="J12" s="110">
        <v>782</v>
      </c>
      <c r="K12" s="87">
        <v>325</v>
      </c>
      <c r="L12" s="87">
        <v>457</v>
      </c>
      <c r="M12" s="87">
        <v>0</v>
      </c>
      <c r="N12" s="88">
        <v>37282.53</v>
      </c>
      <c r="O12" s="88">
        <v>17.829999999999998</v>
      </c>
      <c r="P12" s="587">
        <v>1</v>
      </c>
      <c r="Q12" s="104">
        <v>1069</v>
      </c>
      <c r="R12" s="105">
        <v>441</v>
      </c>
      <c r="S12" s="105">
        <v>628</v>
      </c>
      <c r="T12" s="105">
        <v>0</v>
      </c>
      <c r="U12" s="140">
        <v>26123.125946152613</v>
      </c>
      <c r="V12" s="140">
        <v>12.431440598690289</v>
      </c>
      <c r="W12" s="588">
        <v>0.97726220538001374</v>
      </c>
      <c r="X12" s="104">
        <v>1243</v>
      </c>
      <c r="Y12" s="589">
        <v>680</v>
      </c>
      <c r="Z12" s="105">
        <v>563</v>
      </c>
      <c r="AA12" s="105">
        <v>0</v>
      </c>
      <c r="AB12" s="1252">
        <v>17020.38</v>
      </c>
      <c r="AC12" s="140">
        <v>10.82</v>
      </c>
      <c r="AD12" s="588">
        <v>1</v>
      </c>
      <c r="AE12" s="104">
        <v>663</v>
      </c>
      <c r="AF12" s="105">
        <v>324</v>
      </c>
      <c r="AG12" s="105">
        <v>339</v>
      </c>
      <c r="AH12" s="105">
        <v>0</v>
      </c>
      <c r="AI12" s="1253">
        <v>20782.11</v>
      </c>
      <c r="AJ12" s="140">
        <v>11.98</v>
      </c>
      <c r="AK12" s="588">
        <v>1</v>
      </c>
      <c r="AL12" s="1047">
        <v>1890</v>
      </c>
      <c r="AM12" s="1048">
        <v>913</v>
      </c>
      <c r="AN12" s="1048">
        <v>966</v>
      </c>
      <c r="AO12" s="1048">
        <v>11</v>
      </c>
      <c r="AP12" s="1257">
        <v>25582.76</v>
      </c>
      <c r="AQ12" s="1049">
        <v>12.89</v>
      </c>
      <c r="AR12" s="1050">
        <v>1</v>
      </c>
      <c r="AS12" s="1047">
        <v>2072</v>
      </c>
      <c r="AT12" s="1048">
        <v>1093</v>
      </c>
      <c r="AU12" s="1048">
        <v>968</v>
      </c>
      <c r="AV12" s="1048">
        <v>11</v>
      </c>
      <c r="AW12" s="1257">
        <v>27048.240000000002</v>
      </c>
      <c r="AX12" s="1049">
        <v>13.72</v>
      </c>
      <c r="AY12" s="1050">
        <v>1</v>
      </c>
    </row>
    <row r="13" spans="1:51" ht="14.45" thickBot="1">
      <c r="A13" s="3525"/>
      <c r="B13" s="595"/>
      <c r="C13" s="38"/>
      <c r="D13" s="38"/>
      <c r="E13" s="38"/>
      <c r="F13" s="38"/>
      <c r="G13" s="39"/>
      <c r="H13" s="40"/>
      <c r="I13" s="99"/>
      <c r="J13" s="112"/>
      <c r="K13" s="113"/>
      <c r="L13" s="113"/>
      <c r="M13" s="113"/>
      <c r="N13" s="114"/>
      <c r="O13" s="115"/>
      <c r="P13" s="126"/>
      <c r="Q13" s="591"/>
      <c r="R13" s="591"/>
      <c r="S13" s="591"/>
      <c r="T13" s="591"/>
      <c r="U13" s="592"/>
      <c r="V13" s="593"/>
      <c r="W13" s="594"/>
      <c r="X13" s="591"/>
      <c r="Y13" s="591"/>
      <c r="Z13" s="591"/>
      <c r="AA13" s="591"/>
      <c r="AB13" s="1254"/>
      <c r="AC13" s="593"/>
      <c r="AD13" s="594"/>
      <c r="AE13" s="591"/>
      <c r="AF13" s="591"/>
      <c r="AG13" s="591"/>
      <c r="AH13" s="591"/>
      <c r="AI13" s="592"/>
      <c r="AJ13" s="593"/>
      <c r="AK13" s="594"/>
      <c r="AL13" s="591"/>
      <c r="AM13" s="591"/>
      <c r="AN13" s="591"/>
      <c r="AO13" s="591"/>
      <c r="AP13" s="1254"/>
      <c r="AQ13" s="593"/>
      <c r="AR13" s="594"/>
      <c r="AS13" s="591"/>
      <c r="AT13" s="591"/>
      <c r="AU13" s="591"/>
      <c r="AV13" s="591"/>
      <c r="AW13" s="1254"/>
      <c r="AX13" s="593"/>
      <c r="AY13" s="594"/>
    </row>
    <row r="14" spans="1:51" ht="30.6">
      <c r="A14" s="3525"/>
      <c r="B14" s="584" t="s">
        <v>254</v>
      </c>
      <c r="C14" s="95" t="s">
        <v>244</v>
      </c>
      <c r="D14" s="60" t="s">
        <v>245</v>
      </c>
      <c r="E14" s="60" t="s">
        <v>246</v>
      </c>
      <c r="F14" s="60" t="s">
        <v>247</v>
      </c>
      <c r="G14" s="60" t="s">
        <v>248</v>
      </c>
      <c r="H14" s="60" t="s">
        <v>249</v>
      </c>
      <c r="I14" s="96" t="s">
        <v>250</v>
      </c>
      <c r="J14" s="108" t="s">
        <v>244</v>
      </c>
      <c r="K14" s="85" t="s">
        <v>245</v>
      </c>
      <c r="L14" s="85" t="s">
        <v>246</v>
      </c>
      <c r="M14" s="85" t="s">
        <v>247</v>
      </c>
      <c r="N14" s="85" t="s">
        <v>248</v>
      </c>
      <c r="O14" s="85" t="s">
        <v>249</v>
      </c>
      <c r="P14" s="109" t="s">
        <v>250</v>
      </c>
      <c r="Q14" s="583" t="s">
        <v>244</v>
      </c>
      <c r="R14" s="590" t="s">
        <v>245</v>
      </c>
      <c r="S14" s="590" t="s">
        <v>246</v>
      </c>
      <c r="T14" s="590" t="s">
        <v>247</v>
      </c>
      <c r="U14" s="590" t="s">
        <v>248</v>
      </c>
      <c r="V14" s="590" t="s">
        <v>249</v>
      </c>
      <c r="W14" s="582" t="s">
        <v>250</v>
      </c>
      <c r="X14" s="583" t="s">
        <v>244</v>
      </c>
      <c r="Y14" s="590" t="s">
        <v>245</v>
      </c>
      <c r="Z14" s="590" t="s">
        <v>246</v>
      </c>
      <c r="AA14" s="590" t="s">
        <v>247</v>
      </c>
      <c r="AB14" s="1255" t="s">
        <v>248</v>
      </c>
      <c r="AC14" s="590" t="s">
        <v>249</v>
      </c>
      <c r="AD14" s="582" t="s">
        <v>250</v>
      </c>
      <c r="AE14" s="583" t="s">
        <v>244</v>
      </c>
      <c r="AF14" s="590" t="s">
        <v>245</v>
      </c>
      <c r="AG14" s="590" t="s">
        <v>246</v>
      </c>
      <c r="AH14" s="590" t="s">
        <v>247</v>
      </c>
      <c r="AI14" s="590" t="s">
        <v>248</v>
      </c>
      <c r="AJ14" s="590" t="s">
        <v>249</v>
      </c>
      <c r="AK14" s="582" t="s">
        <v>250</v>
      </c>
      <c r="AL14" s="583" t="s">
        <v>244</v>
      </c>
      <c r="AM14" s="590" t="s">
        <v>245</v>
      </c>
      <c r="AN14" s="590" t="s">
        <v>246</v>
      </c>
      <c r="AO14" s="590" t="s">
        <v>247</v>
      </c>
      <c r="AP14" s="1255" t="s">
        <v>248</v>
      </c>
      <c r="AQ14" s="590" t="s">
        <v>249</v>
      </c>
      <c r="AR14" s="582" t="s">
        <v>250</v>
      </c>
      <c r="AS14" s="583" t="s">
        <v>244</v>
      </c>
      <c r="AT14" s="590" t="s">
        <v>245</v>
      </c>
      <c r="AU14" s="590" t="s">
        <v>246</v>
      </c>
      <c r="AV14" s="590" t="s">
        <v>247</v>
      </c>
      <c r="AW14" s="1255" t="s">
        <v>248</v>
      </c>
      <c r="AX14" s="590" t="s">
        <v>249</v>
      </c>
      <c r="AY14" s="582" t="s">
        <v>250</v>
      </c>
    </row>
    <row r="15" spans="1:51">
      <c r="A15" s="3525"/>
      <c r="B15" s="207" t="s">
        <v>251</v>
      </c>
      <c r="C15" s="97" t="s">
        <v>252</v>
      </c>
      <c r="D15" s="36" t="s">
        <v>252</v>
      </c>
      <c r="E15" s="36" t="s">
        <v>252</v>
      </c>
      <c r="F15" s="36" t="s">
        <v>252</v>
      </c>
      <c r="G15" s="36" t="s">
        <v>252</v>
      </c>
      <c r="H15" s="36" t="s">
        <v>252</v>
      </c>
      <c r="I15" s="98" t="s">
        <v>252</v>
      </c>
      <c r="J15" s="110">
        <v>1046</v>
      </c>
      <c r="K15" s="87">
        <v>829</v>
      </c>
      <c r="L15" s="87">
        <v>217</v>
      </c>
      <c r="M15" s="87">
        <v>0</v>
      </c>
      <c r="N15" s="88">
        <v>37151.58</v>
      </c>
      <c r="O15" s="88">
        <v>17.920000000000002</v>
      </c>
      <c r="P15" s="111">
        <v>1</v>
      </c>
      <c r="Q15" s="97">
        <v>842</v>
      </c>
      <c r="R15" s="36">
        <v>769</v>
      </c>
      <c r="S15" s="36">
        <v>73</v>
      </c>
      <c r="T15" s="36">
        <v>0</v>
      </c>
      <c r="U15" s="37">
        <v>36578.333717688969</v>
      </c>
      <c r="V15" s="37">
        <v>17.613717339667438</v>
      </c>
      <c r="W15" s="138">
        <v>1</v>
      </c>
      <c r="X15" s="97">
        <v>526</v>
      </c>
      <c r="Y15" s="36">
        <v>496</v>
      </c>
      <c r="Z15" s="36">
        <v>30</v>
      </c>
      <c r="AA15" s="36">
        <v>0</v>
      </c>
      <c r="AB15" s="1251">
        <v>36727.42</v>
      </c>
      <c r="AC15" s="37">
        <v>18.399999999999999</v>
      </c>
      <c r="AD15" s="138">
        <v>1</v>
      </c>
      <c r="AE15" s="97">
        <v>1605</v>
      </c>
      <c r="AF15" s="36">
        <v>1164</v>
      </c>
      <c r="AG15" s="36">
        <v>433</v>
      </c>
      <c r="AH15" s="36">
        <v>8</v>
      </c>
      <c r="AI15" s="1251">
        <v>27307.937943925201</v>
      </c>
      <c r="AJ15" s="37">
        <v>14.278646268883687</v>
      </c>
      <c r="AK15" s="138">
        <v>1</v>
      </c>
      <c r="AL15" s="1043">
        <v>606</v>
      </c>
      <c r="AM15" s="1044">
        <v>571</v>
      </c>
      <c r="AN15" s="1044">
        <v>35</v>
      </c>
      <c r="AO15" s="1044">
        <v>0</v>
      </c>
      <c r="AP15" s="1256">
        <v>45037.59</v>
      </c>
      <c r="AQ15" s="1045">
        <v>20.2</v>
      </c>
      <c r="AR15" s="1046">
        <v>1</v>
      </c>
      <c r="AS15" s="1043">
        <v>610</v>
      </c>
      <c r="AT15" s="1044">
        <v>574</v>
      </c>
      <c r="AU15" s="1044">
        <v>36</v>
      </c>
      <c r="AV15" s="1044">
        <v>0</v>
      </c>
      <c r="AW15" s="1256">
        <v>47409.48</v>
      </c>
      <c r="AX15" s="1045">
        <v>21.43</v>
      </c>
      <c r="AY15" s="1046">
        <v>1</v>
      </c>
    </row>
    <row r="16" spans="1:51" ht="14.45" thickBot="1">
      <c r="A16" s="3525"/>
      <c r="B16" s="581" t="s">
        <v>253</v>
      </c>
      <c r="C16" s="97" t="s">
        <v>252</v>
      </c>
      <c r="D16" s="36" t="s">
        <v>252</v>
      </c>
      <c r="E16" s="36" t="s">
        <v>252</v>
      </c>
      <c r="F16" s="36" t="s">
        <v>252</v>
      </c>
      <c r="G16" s="36" t="s">
        <v>252</v>
      </c>
      <c r="H16" s="36" t="s">
        <v>252</v>
      </c>
      <c r="I16" s="98" t="s">
        <v>252</v>
      </c>
      <c r="J16" s="110">
        <v>659</v>
      </c>
      <c r="K16" s="87">
        <v>379</v>
      </c>
      <c r="L16" s="87">
        <v>279</v>
      </c>
      <c r="M16" s="87">
        <v>1</v>
      </c>
      <c r="N16" s="88">
        <v>33569.519999999997</v>
      </c>
      <c r="O16" s="88">
        <v>16.13</v>
      </c>
      <c r="P16" s="587">
        <v>0.9</v>
      </c>
      <c r="Q16" s="104">
        <v>318</v>
      </c>
      <c r="R16" s="105">
        <v>241</v>
      </c>
      <c r="S16" s="105">
        <v>77</v>
      </c>
      <c r="T16" s="105">
        <v>0</v>
      </c>
      <c r="U16" s="140">
        <v>32745.685342960551</v>
      </c>
      <c r="V16" s="140">
        <v>15.779654088050316</v>
      </c>
      <c r="W16" s="588">
        <v>0.89522080463509512</v>
      </c>
      <c r="X16" s="104">
        <v>190</v>
      </c>
      <c r="Y16" s="580">
        <v>131</v>
      </c>
      <c r="Z16" s="105">
        <v>59</v>
      </c>
      <c r="AA16" s="105">
        <v>0</v>
      </c>
      <c r="AB16" s="1252">
        <v>32339.31</v>
      </c>
      <c r="AC16" s="140">
        <v>17.27</v>
      </c>
      <c r="AD16" s="588">
        <v>0.94</v>
      </c>
      <c r="AE16" s="104">
        <v>788</v>
      </c>
      <c r="AF16" s="105">
        <v>434</v>
      </c>
      <c r="AG16" s="105">
        <v>351</v>
      </c>
      <c r="AH16" s="105">
        <v>3</v>
      </c>
      <c r="AI16" s="1252">
        <v>23217.083147208145</v>
      </c>
      <c r="AJ16" s="140">
        <v>13.247662607915117</v>
      </c>
      <c r="AK16" s="588">
        <v>0.93</v>
      </c>
      <c r="AL16" s="1047">
        <v>234</v>
      </c>
      <c r="AM16" s="1048">
        <v>196</v>
      </c>
      <c r="AN16" s="1048">
        <v>38</v>
      </c>
      <c r="AO16" s="1048">
        <v>0</v>
      </c>
      <c r="AP16" s="1258">
        <v>39883.86</v>
      </c>
      <c r="AQ16" s="1049">
        <v>19.14</v>
      </c>
      <c r="AR16" s="1050">
        <v>0.95</v>
      </c>
      <c r="AS16" s="1047">
        <v>247</v>
      </c>
      <c r="AT16" s="1048">
        <v>201</v>
      </c>
      <c r="AU16" s="1048">
        <v>46</v>
      </c>
      <c r="AV16" s="1048">
        <v>0</v>
      </c>
      <c r="AW16" s="1258">
        <v>41625.64</v>
      </c>
      <c r="AX16" s="1049">
        <v>20.21</v>
      </c>
      <c r="AY16" s="1050">
        <v>0.94</v>
      </c>
    </row>
    <row r="17" spans="1:51" ht="14.45" thickBot="1">
      <c r="A17" s="3525"/>
      <c r="B17" s="595"/>
      <c r="C17" s="602"/>
      <c r="D17" s="602"/>
      <c r="E17" s="602"/>
      <c r="F17" s="602"/>
      <c r="G17" s="603"/>
      <c r="H17" s="604"/>
      <c r="I17" s="605"/>
      <c r="J17" s="606"/>
      <c r="K17" s="607"/>
      <c r="L17" s="607"/>
      <c r="M17" s="607"/>
      <c r="N17" s="608"/>
      <c r="O17" s="609"/>
      <c r="P17" s="610"/>
      <c r="Q17" s="602"/>
      <c r="R17" s="602"/>
      <c r="S17" s="591"/>
      <c r="T17" s="591"/>
      <c r="U17" s="592"/>
      <c r="V17" s="593"/>
      <c r="W17" s="594"/>
      <c r="X17" s="591"/>
      <c r="Y17" s="591"/>
      <c r="Z17" s="591"/>
      <c r="AA17" s="591"/>
      <c r="AB17" s="1254"/>
      <c r="AC17" s="593"/>
      <c r="AD17" s="594"/>
      <c r="AE17" s="591"/>
      <c r="AF17" s="591"/>
      <c r="AG17" s="591"/>
      <c r="AH17" s="591"/>
      <c r="AI17" s="592"/>
      <c r="AJ17" s="593"/>
      <c r="AK17" s="594"/>
      <c r="AL17" s="591"/>
      <c r="AM17" s="591"/>
      <c r="AN17" s="591"/>
      <c r="AO17" s="591"/>
      <c r="AP17" s="1254"/>
      <c r="AQ17" s="593"/>
      <c r="AR17" s="594"/>
      <c r="AS17" s="591"/>
      <c r="AT17" s="591"/>
      <c r="AU17" s="591"/>
      <c r="AV17" s="591"/>
      <c r="AW17" s="1254"/>
      <c r="AX17" s="593"/>
      <c r="AY17" s="594"/>
    </row>
    <row r="18" spans="1:51" ht="30.6">
      <c r="A18" s="3525"/>
      <c r="B18" s="584" t="s">
        <v>255</v>
      </c>
      <c r="C18" s="583" t="s">
        <v>244</v>
      </c>
      <c r="D18" s="590" t="s">
        <v>245</v>
      </c>
      <c r="E18" s="590" t="s">
        <v>246</v>
      </c>
      <c r="F18" s="590" t="s">
        <v>247</v>
      </c>
      <c r="G18" s="590" t="s">
        <v>248</v>
      </c>
      <c r="H18" s="590" t="s">
        <v>249</v>
      </c>
      <c r="I18" s="582" t="s">
        <v>250</v>
      </c>
      <c r="J18" s="599" t="s">
        <v>244</v>
      </c>
      <c r="K18" s="600" t="s">
        <v>245</v>
      </c>
      <c r="L18" s="600" t="s">
        <v>246</v>
      </c>
      <c r="M18" s="600" t="s">
        <v>247</v>
      </c>
      <c r="N18" s="600" t="s">
        <v>248</v>
      </c>
      <c r="O18" s="600" t="s">
        <v>249</v>
      </c>
      <c r="P18" s="601" t="s">
        <v>250</v>
      </c>
      <c r="Q18" s="583" t="s">
        <v>244</v>
      </c>
      <c r="R18" s="590" t="s">
        <v>245</v>
      </c>
      <c r="S18" s="590" t="s">
        <v>246</v>
      </c>
      <c r="T18" s="590" t="s">
        <v>247</v>
      </c>
      <c r="U18" s="590" t="s">
        <v>248</v>
      </c>
      <c r="V18" s="590" t="s">
        <v>249</v>
      </c>
      <c r="W18" s="582" t="s">
        <v>250</v>
      </c>
      <c r="X18" s="583" t="s">
        <v>244</v>
      </c>
      <c r="Y18" s="590" t="s">
        <v>245</v>
      </c>
      <c r="Z18" s="590" t="s">
        <v>246</v>
      </c>
      <c r="AA18" s="590" t="s">
        <v>247</v>
      </c>
      <c r="AB18" s="1255" t="s">
        <v>248</v>
      </c>
      <c r="AC18" s="590" t="s">
        <v>249</v>
      </c>
      <c r="AD18" s="582" t="s">
        <v>250</v>
      </c>
      <c r="AE18" s="583" t="s">
        <v>244</v>
      </c>
      <c r="AF18" s="590" t="s">
        <v>245</v>
      </c>
      <c r="AG18" s="590" t="s">
        <v>246</v>
      </c>
      <c r="AH18" s="590" t="s">
        <v>247</v>
      </c>
      <c r="AI18" s="590" t="s">
        <v>248</v>
      </c>
      <c r="AJ18" s="590" t="s">
        <v>249</v>
      </c>
      <c r="AK18" s="582" t="s">
        <v>250</v>
      </c>
      <c r="AL18" s="583" t="s">
        <v>244</v>
      </c>
      <c r="AM18" s="590" t="s">
        <v>245</v>
      </c>
      <c r="AN18" s="590" t="s">
        <v>246</v>
      </c>
      <c r="AO18" s="590" t="s">
        <v>247</v>
      </c>
      <c r="AP18" s="1255" t="s">
        <v>248</v>
      </c>
      <c r="AQ18" s="590" t="s">
        <v>249</v>
      </c>
      <c r="AR18" s="582" t="s">
        <v>250</v>
      </c>
      <c r="AS18" s="583" t="s">
        <v>244</v>
      </c>
      <c r="AT18" s="590" t="s">
        <v>245</v>
      </c>
      <c r="AU18" s="590" t="s">
        <v>246</v>
      </c>
      <c r="AV18" s="590" t="s">
        <v>247</v>
      </c>
      <c r="AW18" s="1255" t="s">
        <v>248</v>
      </c>
      <c r="AX18" s="590" t="s">
        <v>249</v>
      </c>
      <c r="AY18" s="582" t="s">
        <v>250</v>
      </c>
    </row>
    <row r="19" spans="1:51">
      <c r="A19" s="3525"/>
      <c r="B19" s="581" t="s">
        <v>251</v>
      </c>
      <c r="C19" s="97" t="s">
        <v>252</v>
      </c>
      <c r="D19" s="36" t="s">
        <v>252</v>
      </c>
      <c r="E19" s="36" t="s">
        <v>252</v>
      </c>
      <c r="F19" s="36" t="s">
        <v>252</v>
      </c>
      <c r="G19" s="36" t="s">
        <v>252</v>
      </c>
      <c r="H19" s="36" t="s">
        <v>252</v>
      </c>
      <c r="I19" s="98" t="s">
        <v>252</v>
      </c>
      <c r="J19" s="110">
        <v>464</v>
      </c>
      <c r="K19" s="87">
        <v>423</v>
      </c>
      <c r="L19" s="87">
        <v>41</v>
      </c>
      <c r="M19" s="87">
        <v>0</v>
      </c>
      <c r="N19" s="88">
        <v>43694.5</v>
      </c>
      <c r="O19" s="88">
        <v>21.66</v>
      </c>
      <c r="P19" s="111">
        <v>1</v>
      </c>
      <c r="Q19" s="97">
        <v>446</v>
      </c>
      <c r="R19" s="36">
        <v>431</v>
      </c>
      <c r="S19" s="36">
        <v>15</v>
      </c>
      <c r="T19" s="36">
        <v>0</v>
      </c>
      <c r="U19" s="37">
        <v>39065.993027479519</v>
      </c>
      <c r="V19" s="37">
        <v>19.394708520179382</v>
      </c>
      <c r="W19" s="138">
        <v>1</v>
      </c>
      <c r="X19" s="97">
        <v>211</v>
      </c>
      <c r="Y19" s="36">
        <v>210</v>
      </c>
      <c r="Z19" s="36">
        <v>1</v>
      </c>
      <c r="AA19" s="36">
        <v>0</v>
      </c>
      <c r="AB19" s="1251">
        <v>38370.28</v>
      </c>
      <c r="AC19" s="37">
        <v>18.899999999999999</v>
      </c>
      <c r="AD19" s="138">
        <v>1</v>
      </c>
      <c r="AE19" s="97">
        <v>771</v>
      </c>
      <c r="AF19" s="36">
        <v>669</v>
      </c>
      <c r="AG19" s="36">
        <v>97</v>
      </c>
      <c r="AH19" s="36">
        <v>5</v>
      </c>
      <c r="AI19" s="1251">
        <v>34009.400778210038</v>
      </c>
      <c r="AJ19" s="37">
        <v>17.209614399503355</v>
      </c>
      <c r="AK19" s="138">
        <v>1</v>
      </c>
      <c r="AL19" s="1043">
        <v>269</v>
      </c>
      <c r="AM19" s="1044">
        <v>267</v>
      </c>
      <c r="AN19" s="1044">
        <v>2</v>
      </c>
      <c r="AO19" s="1044">
        <v>0</v>
      </c>
      <c r="AP19" s="1256">
        <v>46840.21</v>
      </c>
      <c r="AQ19" s="1045">
        <v>21.74</v>
      </c>
      <c r="AR19" s="1046">
        <v>1</v>
      </c>
      <c r="AS19" s="1043">
        <v>299</v>
      </c>
      <c r="AT19" s="1044">
        <v>296</v>
      </c>
      <c r="AU19" s="1044">
        <v>3</v>
      </c>
      <c r="AV19" s="1044">
        <v>0</v>
      </c>
      <c r="AW19" s="1256">
        <v>48876.31</v>
      </c>
      <c r="AX19" s="1045">
        <v>22.76</v>
      </c>
      <c r="AY19" s="1046">
        <v>1</v>
      </c>
    </row>
    <row r="20" spans="1:51" ht="14.45" thickBot="1">
      <c r="A20" s="3525"/>
      <c r="B20" s="586" t="s">
        <v>253</v>
      </c>
      <c r="C20" s="585" t="s">
        <v>252</v>
      </c>
      <c r="D20" s="36" t="s">
        <v>252</v>
      </c>
      <c r="E20" s="36" t="s">
        <v>252</v>
      </c>
      <c r="F20" s="36" t="s">
        <v>252</v>
      </c>
      <c r="G20" s="36" t="s">
        <v>252</v>
      </c>
      <c r="H20" s="36" t="s">
        <v>252</v>
      </c>
      <c r="I20" s="98" t="s">
        <v>252</v>
      </c>
      <c r="J20" s="110">
        <v>342</v>
      </c>
      <c r="K20" s="87">
        <v>263</v>
      </c>
      <c r="L20" s="87">
        <v>78</v>
      </c>
      <c r="M20" s="87">
        <v>1</v>
      </c>
      <c r="N20" s="88">
        <v>36903.480000000003</v>
      </c>
      <c r="O20" s="88">
        <v>18.39</v>
      </c>
      <c r="P20" s="587">
        <v>0.84</v>
      </c>
      <c r="Q20" s="104">
        <v>225</v>
      </c>
      <c r="R20" s="105">
        <v>195</v>
      </c>
      <c r="S20" s="105">
        <v>30</v>
      </c>
      <c r="T20" s="105">
        <v>0</v>
      </c>
      <c r="U20" s="140">
        <v>33502.104979433883</v>
      </c>
      <c r="V20" s="140">
        <v>16.682977777777761</v>
      </c>
      <c r="W20" s="588">
        <v>0.8575772016307911</v>
      </c>
      <c r="X20" s="580">
        <v>108</v>
      </c>
      <c r="Y20" s="105">
        <v>101</v>
      </c>
      <c r="Z20" s="105">
        <v>7</v>
      </c>
      <c r="AA20" s="105">
        <v>0</v>
      </c>
      <c r="AB20" s="1252">
        <v>35663.32</v>
      </c>
      <c r="AC20" s="140">
        <v>18.27</v>
      </c>
      <c r="AD20" s="588">
        <v>0.97</v>
      </c>
      <c r="AE20" s="104">
        <v>447</v>
      </c>
      <c r="AF20" s="105">
        <v>348</v>
      </c>
      <c r="AG20" s="105">
        <v>96</v>
      </c>
      <c r="AH20" s="105">
        <v>3</v>
      </c>
      <c r="AI20" s="1252">
        <v>28945.245100671189</v>
      </c>
      <c r="AJ20" s="140">
        <v>15.307280275595366</v>
      </c>
      <c r="AK20" s="588">
        <v>0.89</v>
      </c>
      <c r="AL20" s="1047">
        <v>166</v>
      </c>
      <c r="AM20" s="1048">
        <v>152</v>
      </c>
      <c r="AN20" s="1048">
        <v>14</v>
      </c>
      <c r="AO20" s="1048">
        <v>0</v>
      </c>
      <c r="AP20" s="1258">
        <v>40385.21</v>
      </c>
      <c r="AQ20" s="1049">
        <v>19.989999999999998</v>
      </c>
      <c r="AR20" s="1050">
        <v>0.92</v>
      </c>
      <c r="AS20" s="1047">
        <v>185</v>
      </c>
      <c r="AT20" s="1048">
        <v>175</v>
      </c>
      <c r="AU20" s="1048">
        <v>10</v>
      </c>
      <c r="AV20" s="1048">
        <v>0</v>
      </c>
      <c r="AW20" s="1258">
        <v>42361.31</v>
      </c>
      <c r="AX20" s="1049">
        <v>20.56</v>
      </c>
      <c r="AY20" s="1050">
        <v>0.9</v>
      </c>
    </row>
    <row r="21" spans="1:51" ht="14.45" thickBot="1">
      <c r="A21" s="3525"/>
      <c r="B21" s="31"/>
      <c r="C21" s="100"/>
      <c r="D21" s="42"/>
      <c r="E21" s="42"/>
      <c r="F21" s="42"/>
      <c r="G21" s="43"/>
      <c r="H21" s="44"/>
      <c r="I21" s="101"/>
      <c r="J21" s="116"/>
      <c r="K21" s="117"/>
      <c r="L21" s="117"/>
      <c r="M21" s="117"/>
      <c r="N21" s="118"/>
      <c r="O21" s="119"/>
      <c r="P21" s="122"/>
      <c r="Q21" s="612"/>
      <c r="R21" s="612"/>
      <c r="S21" s="612"/>
      <c r="T21" s="612"/>
      <c r="U21" s="613"/>
      <c r="V21" s="44"/>
      <c r="W21" s="28"/>
      <c r="X21" s="612"/>
      <c r="Y21" s="612"/>
      <c r="Z21" s="612"/>
      <c r="AA21" s="612"/>
      <c r="AB21" s="613"/>
      <c r="AC21" s="44"/>
      <c r="AD21" s="28"/>
      <c r="AE21" s="42"/>
      <c r="AF21" s="42"/>
      <c r="AG21" s="42"/>
      <c r="AH21" s="42"/>
      <c r="AI21" s="43"/>
      <c r="AJ21" s="44"/>
      <c r="AK21" s="28"/>
      <c r="AL21" s="42"/>
      <c r="AM21" s="42"/>
      <c r="AN21" s="42"/>
      <c r="AO21" s="42"/>
      <c r="AP21" s="43"/>
      <c r="AQ21" s="44"/>
      <c r="AR21" s="28"/>
      <c r="AS21" s="42"/>
      <c r="AT21" s="42"/>
      <c r="AU21" s="42"/>
      <c r="AV21" s="42"/>
      <c r="AW21" s="43"/>
      <c r="AX21" s="44"/>
      <c r="AY21" s="28"/>
    </row>
    <row r="22" spans="1:51" ht="15.75" customHeight="1">
      <c r="A22" s="3525"/>
      <c r="B22" s="34"/>
      <c r="C22" s="3543" t="s">
        <v>256</v>
      </c>
      <c r="D22" s="3544"/>
      <c r="E22" s="3544"/>
      <c r="F22" s="3544"/>
      <c r="G22" s="3545"/>
      <c r="H22" s="28"/>
      <c r="I22" s="101"/>
      <c r="J22" s="3529" t="s">
        <v>256</v>
      </c>
      <c r="K22" s="3530"/>
      <c r="L22" s="3530"/>
      <c r="M22" s="3530"/>
      <c r="N22" s="3531"/>
      <c r="O22" s="121"/>
      <c r="P22" s="121"/>
      <c r="Q22" s="3532" t="s">
        <v>256</v>
      </c>
      <c r="R22" s="3533"/>
      <c r="S22" s="3533"/>
      <c r="T22" s="3533"/>
      <c r="U22" s="3534"/>
      <c r="V22" s="28"/>
      <c r="W22" s="28"/>
      <c r="X22" s="3512" t="s">
        <v>256</v>
      </c>
      <c r="Y22" s="3513"/>
      <c r="Z22" s="3513"/>
      <c r="AA22" s="3513"/>
      <c r="AB22" s="3514"/>
      <c r="AC22" s="28"/>
      <c r="AD22" s="28"/>
      <c r="AE22" s="3546" t="s">
        <v>256</v>
      </c>
      <c r="AF22" s="3547"/>
      <c r="AG22" s="3547"/>
      <c r="AH22" s="3547"/>
      <c r="AI22" s="3548"/>
      <c r="AJ22" s="28"/>
      <c r="AK22" s="28"/>
      <c r="AL22" s="3512" t="s">
        <v>256</v>
      </c>
      <c r="AM22" s="3513"/>
      <c r="AN22" s="3513"/>
      <c r="AO22" s="3513"/>
      <c r="AP22" s="3514"/>
      <c r="AQ22" s="28"/>
      <c r="AR22" s="28"/>
      <c r="AS22" s="3512" t="s">
        <v>256</v>
      </c>
      <c r="AT22" s="3513"/>
      <c r="AU22" s="3513"/>
      <c r="AV22" s="3513"/>
      <c r="AW22" s="3514"/>
      <c r="AX22" s="28"/>
      <c r="AY22" s="28"/>
    </row>
    <row r="23" spans="1:51" ht="15" thickBot="1">
      <c r="A23" s="3525"/>
      <c r="B23" s="34"/>
      <c r="C23" s="3515" t="s">
        <v>257</v>
      </c>
      <c r="D23" s="3516"/>
      <c r="E23" s="3516"/>
      <c r="F23" s="3516"/>
      <c r="G23" s="3528"/>
      <c r="H23" s="28"/>
      <c r="I23" s="101"/>
      <c r="J23" s="3515" t="s">
        <v>257</v>
      </c>
      <c r="K23" s="3516"/>
      <c r="L23" s="3516"/>
      <c r="M23" s="3516"/>
      <c r="N23" s="3528"/>
      <c r="O23" s="122"/>
      <c r="P23" s="122"/>
      <c r="Q23" s="3515" t="s">
        <v>257</v>
      </c>
      <c r="R23" s="3516"/>
      <c r="S23" s="3516"/>
      <c r="T23" s="3516"/>
      <c r="U23" s="3517"/>
      <c r="V23" s="28"/>
      <c r="W23" s="28"/>
      <c r="X23" s="3515" t="s">
        <v>257</v>
      </c>
      <c r="Y23" s="3516"/>
      <c r="Z23" s="3516"/>
      <c r="AA23" s="3516"/>
      <c r="AB23" s="3517"/>
      <c r="AC23" s="28"/>
      <c r="AD23" s="28"/>
      <c r="AE23" s="3515" t="s">
        <v>257</v>
      </c>
      <c r="AF23" s="3516"/>
      <c r="AG23" s="3516"/>
      <c r="AH23" s="3516"/>
      <c r="AI23" s="3517"/>
      <c r="AJ23" s="28"/>
      <c r="AK23" s="28"/>
      <c r="AL23" s="3515" t="s">
        <v>257</v>
      </c>
      <c r="AM23" s="3516"/>
      <c r="AN23" s="3516"/>
      <c r="AO23" s="3516"/>
      <c r="AP23" s="3517"/>
      <c r="AQ23" s="28"/>
      <c r="AR23" s="28"/>
      <c r="AS23" s="3515" t="s">
        <v>257</v>
      </c>
      <c r="AT23" s="3516"/>
      <c r="AU23" s="3516"/>
      <c r="AV23" s="3516"/>
      <c r="AW23" s="3517"/>
      <c r="AX23" s="28"/>
      <c r="AY23" s="28"/>
    </row>
    <row r="24" spans="1:51" ht="41.45" thickBot="1">
      <c r="A24" s="3525"/>
      <c r="B24" s="628"/>
      <c r="C24" s="596" t="s">
        <v>258</v>
      </c>
      <c r="D24" s="45" t="s">
        <v>249</v>
      </c>
      <c r="E24" s="45" t="s">
        <v>259</v>
      </c>
      <c r="F24" s="45" t="s">
        <v>260</v>
      </c>
      <c r="G24" s="45" t="s">
        <v>250</v>
      </c>
      <c r="H24" s="28"/>
      <c r="I24" s="101"/>
      <c r="J24" s="123" t="s">
        <v>258</v>
      </c>
      <c r="K24" s="90" t="s">
        <v>249</v>
      </c>
      <c r="L24" s="90" t="s">
        <v>259</v>
      </c>
      <c r="M24" s="90" t="s">
        <v>260</v>
      </c>
      <c r="N24" s="90" t="s">
        <v>250</v>
      </c>
      <c r="O24" s="122"/>
      <c r="P24" s="122"/>
      <c r="Q24" s="95" t="s">
        <v>258</v>
      </c>
      <c r="R24" s="45" t="s">
        <v>249</v>
      </c>
      <c r="S24" s="45" t="s">
        <v>259</v>
      </c>
      <c r="T24" s="45" t="s">
        <v>260</v>
      </c>
      <c r="U24" s="639" t="s">
        <v>250</v>
      </c>
      <c r="V24" s="28"/>
      <c r="W24" s="101"/>
      <c r="X24" s="583" t="s">
        <v>258</v>
      </c>
      <c r="Y24" s="614" t="s">
        <v>249</v>
      </c>
      <c r="Z24" s="614" t="s">
        <v>259</v>
      </c>
      <c r="AA24" s="615" t="s">
        <v>260</v>
      </c>
      <c r="AB24" s="616" t="s">
        <v>250</v>
      </c>
      <c r="AC24" s="28"/>
      <c r="AD24" s="28"/>
      <c r="AE24" s="95" t="s">
        <v>258</v>
      </c>
      <c r="AF24" s="45" t="s">
        <v>249</v>
      </c>
      <c r="AG24" s="45" t="s">
        <v>259</v>
      </c>
      <c r="AH24" s="45" t="s">
        <v>260</v>
      </c>
      <c r="AI24" s="639" t="s">
        <v>250</v>
      </c>
      <c r="AJ24" s="28"/>
      <c r="AK24" s="28"/>
      <c r="AL24" s="95" t="s">
        <v>258</v>
      </c>
      <c r="AM24" s="45" t="s">
        <v>249</v>
      </c>
      <c r="AN24" s="45" t="s">
        <v>259</v>
      </c>
      <c r="AO24" s="45" t="s">
        <v>260</v>
      </c>
      <c r="AP24" s="639" t="s">
        <v>250</v>
      </c>
      <c r="AQ24" s="28"/>
      <c r="AR24" s="28"/>
      <c r="AS24" s="95" t="s">
        <v>258</v>
      </c>
      <c r="AT24" s="45" t="s">
        <v>249</v>
      </c>
      <c r="AU24" s="45" t="s">
        <v>259</v>
      </c>
      <c r="AV24" s="45" t="s">
        <v>260</v>
      </c>
      <c r="AW24" s="639" t="s">
        <v>250</v>
      </c>
      <c r="AX24" s="28"/>
      <c r="AY24" s="28"/>
    </row>
    <row r="25" spans="1:51">
      <c r="A25" s="3525"/>
      <c r="B25" s="597" t="s">
        <v>251</v>
      </c>
      <c r="C25" s="97" t="s">
        <v>252</v>
      </c>
      <c r="D25" s="36" t="s">
        <v>252</v>
      </c>
      <c r="E25" s="36" t="s">
        <v>252</v>
      </c>
      <c r="F25" s="36" t="s">
        <v>252</v>
      </c>
      <c r="G25" s="36" t="s">
        <v>252</v>
      </c>
      <c r="H25" s="28"/>
      <c r="I25" s="101"/>
      <c r="J25" s="124">
        <v>3</v>
      </c>
      <c r="K25" s="91">
        <v>7.44</v>
      </c>
      <c r="L25" s="91">
        <v>4.55</v>
      </c>
      <c r="M25" s="92">
        <v>1.63</v>
      </c>
      <c r="N25" s="86">
        <v>0.81</v>
      </c>
      <c r="O25" s="122"/>
      <c r="P25" s="120"/>
      <c r="Q25" s="97">
        <v>3</v>
      </c>
      <c r="R25" s="37">
        <v>8.793333333333333</v>
      </c>
      <c r="S25" s="37">
        <v>4.55</v>
      </c>
      <c r="T25" s="46">
        <v>1.9326007326007326</v>
      </c>
      <c r="U25" s="138">
        <v>0.9280562884784519</v>
      </c>
      <c r="V25" s="28"/>
      <c r="W25" s="101"/>
      <c r="X25" s="97">
        <v>0</v>
      </c>
      <c r="Y25" s="37" t="s">
        <v>24</v>
      </c>
      <c r="Z25" s="37">
        <v>4.62</v>
      </c>
      <c r="AA25" s="611" t="s">
        <v>24</v>
      </c>
      <c r="AB25" s="138" t="s">
        <v>24</v>
      </c>
      <c r="AC25" s="28"/>
      <c r="AD25" s="28"/>
      <c r="AE25" s="97">
        <v>2</v>
      </c>
      <c r="AF25" s="37">
        <v>13.09</v>
      </c>
      <c r="AG25" s="37">
        <v>4.8099999999999996</v>
      </c>
      <c r="AH25" s="46">
        <v>2.72</v>
      </c>
      <c r="AI25" s="138">
        <v>1</v>
      </c>
      <c r="AJ25" s="28"/>
      <c r="AK25" s="28"/>
      <c r="AL25" s="1043">
        <v>1</v>
      </c>
      <c r="AM25" s="1045">
        <v>14.19</v>
      </c>
      <c r="AN25" s="1045">
        <v>5.28</v>
      </c>
      <c r="AO25" s="1051">
        <v>2.6879</v>
      </c>
      <c r="AP25" s="1046">
        <v>1</v>
      </c>
      <c r="AQ25" s="28"/>
      <c r="AR25" s="28"/>
      <c r="AS25" s="1043">
        <v>2</v>
      </c>
      <c r="AT25" s="1045">
        <v>11.14</v>
      </c>
      <c r="AU25" s="1045">
        <v>6.4</v>
      </c>
      <c r="AV25" s="1051">
        <v>1.7401</v>
      </c>
      <c r="AW25" s="1046">
        <v>1</v>
      </c>
      <c r="AX25" s="28"/>
      <c r="AY25" s="28"/>
    </row>
    <row r="26" spans="1:51" ht="14.45" thickBot="1">
      <c r="A26" s="3525"/>
      <c r="B26" s="618" t="s">
        <v>253</v>
      </c>
      <c r="C26" s="104" t="s">
        <v>252</v>
      </c>
      <c r="D26" s="105" t="s">
        <v>252</v>
      </c>
      <c r="E26" s="105" t="s">
        <v>252</v>
      </c>
      <c r="F26" s="105" t="s">
        <v>252</v>
      </c>
      <c r="G26" s="105" t="s">
        <v>252</v>
      </c>
      <c r="H26" s="619"/>
      <c r="I26" s="620"/>
      <c r="J26" s="621">
        <v>3</v>
      </c>
      <c r="K26" s="622">
        <v>9.19</v>
      </c>
      <c r="L26" s="622">
        <v>4.55</v>
      </c>
      <c r="M26" s="623">
        <v>2.02</v>
      </c>
      <c r="N26" s="624">
        <v>1</v>
      </c>
      <c r="O26" s="625"/>
      <c r="P26" s="626"/>
      <c r="Q26" s="104">
        <v>2</v>
      </c>
      <c r="R26" s="140">
        <v>9.4750000000000014</v>
      </c>
      <c r="S26" s="140">
        <v>4.55</v>
      </c>
      <c r="T26" s="627">
        <v>2.082417582417583</v>
      </c>
      <c r="U26" s="588">
        <v>1</v>
      </c>
      <c r="V26" s="28"/>
      <c r="W26" s="28"/>
      <c r="X26" s="104">
        <v>2</v>
      </c>
      <c r="Y26" s="140">
        <v>10.18</v>
      </c>
      <c r="Z26" s="140">
        <v>4.62</v>
      </c>
      <c r="AA26" s="141">
        <v>2.2042999999999999</v>
      </c>
      <c r="AB26" s="588" t="s">
        <v>261</v>
      </c>
      <c r="AC26" s="28"/>
      <c r="AD26" s="28"/>
      <c r="AE26" s="104">
        <v>1</v>
      </c>
      <c r="AF26" s="140">
        <v>13.09</v>
      </c>
      <c r="AG26" s="140">
        <v>4.8099999999999996</v>
      </c>
      <c r="AH26" s="141">
        <v>2.72</v>
      </c>
      <c r="AI26" s="588">
        <v>1</v>
      </c>
      <c r="AJ26" s="28"/>
      <c r="AK26" s="28"/>
      <c r="AL26" s="1047">
        <v>3</v>
      </c>
      <c r="AM26" s="1049">
        <v>11.48</v>
      </c>
      <c r="AN26" s="1049">
        <v>5.28</v>
      </c>
      <c r="AO26" s="1052">
        <v>2.1749000000000001</v>
      </c>
      <c r="AP26" s="1050">
        <v>0.81</v>
      </c>
      <c r="AQ26" s="28"/>
      <c r="AR26" s="28"/>
      <c r="AS26" s="1047">
        <v>0</v>
      </c>
      <c r="AT26" s="1049">
        <v>0</v>
      </c>
      <c r="AU26" s="1049">
        <v>6.4</v>
      </c>
      <c r="AV26" s="1052">
        <v>0</v>
      </c>
      <c r="AW26" s="1050">
        <v>0</v>
      </c>
      <c r="AX26" s="28"/>
      <c r="AY26" s="28"/>
    </row>
    <row r="27" spans="1:51" ht="14.45" thickBot="1">
      <c r="A27" s="3525"/>
      <c r="B27" s="617"/>
      <c r="C27" s="41"/>
      <c r="D27" s="41"/>
      <c r="E27" s="41"/>
      <c r="F27" s="47"/>
      <c r="G27" s="40"/>
      <c r="H27" s="28"/>
      <c r="I27" s="101"/>
      <c r="J27" s="125"/>
      <c r="K27" s="126"/>
      <c r="L27" s="126"/>
      <c r="M27" s="127"/>
      <c r="N27" s="115"/>
      <c r="O27" s="122"/>
      <c r="P27" s="122"/>
      <c r="Q27" s="629"/>
      <c r="R27" s="629"/>
      <c r="S27" s="629"/>
      <c r="T27" s="630"/>
      <c r="U27" s="631"/>
      <c r="V27" s="28"/>
      <c r="W27" s="28"/>
      <c r="X27" s="41"/>
      <c r="Y27" s="41"/>
      <c r="Z27" s="41"/>
      <c r="AA27" s="47"/>
      <c r="AB27" s="40"/>
      <c r="AC27" s="28"/>
      <c r="AD27" s="28"/>
      <c r="AE27" s="41"/>
      <c r="AF27" s="41"/>
      <c r="AG27" s="41"/>
      <c r="AH27" s="47"/>
      <c r="AI27" s="40"/>
      <c r="AJ27" s="28"/>
      <c r="AK27" s="28"/>
      <c r="AL27" s="41"/>
      <c r="AM27" s="41"/>
      <c r="AN27" s="41"/>
      <c r="AO27" s="47"/>
      <c r="AP27" s="40"/>
      <c r="AQ27" s="28"/>
      <c r="AR27" s="28"/>
      <c r="AS27" s="41"/>
      <c r="AT27" s="41"/>
      <c r="AU27" s="41"/>
      <c r="AV27" s="47"/>
      <c r="AW27" s="40"/>
      <c r="AX27" s="28"/>
      <c r="AY27" s="28"/>
    </row>
    <row r="28" spans="1:51" ht="14.45">
      <c r="A28" s="3525"/>
      <c r="B28" s="34"/>
      <c r="C28" s="3515" t="s">
        <v>262</v>
      </c>
      <c r="D28" s="3516"/>
      <c r="E28" s="3516"/>
      <c r="F28" s="3516"/>
      <c r="G28" s="3528"/>
      <c r="H28" s="28"/>
      <c r="I28" s="101"/>
      <c r="J28" s="3515" t="s">
        <v>262</v>
      </c>
      <c r="K28" s="3516"/>
      <c r="L28" s="3516"/>
      <c r="M28" s="3516"/>
      <c r="N28" s="3528"/>
      <c r="O28" s="122"/>
      <c r="P28" s="122"/>
      <c r="Q28" s="3535" t="s">
        <v>262</v>
      </c>
      <c r="R28" s="3536"/>
      <c r="S28" s="3536"/>
      <c r="T28" s="3536"/>
      <c r="U28" s="3537"/>
      <c r="V28" s="28"/>
      <c r="W28" s="28"/>
      <c r="X28" s="3503" t="s">
        <v>262</v>
      </c>
      <c r="Y28" s="3504"/>
      <c r="Z28" s="3504"/>
      <c r="AA28" s="3504"/>
      <c r="AB28" s="3505"/>
      <c r="AC28" s="28"/>
      <c r="AD28" s="28"/>
      <c r="AE28" s="3503" t="s">
        <v>262</v>
      </c>
      <c r="AF28" s="3504"/>
      <c r="AG28" s="3504"/>
      <c r="AH28" s="3504"/>
      <c r="AI28" s="3505"/>
      <c r="AJ28" s="28"/>
      <c r="AK28" s="28"/>
      <c r="AL28" s="3503" t="s">
        <v>262</v>
      </c>
      <c r="AM28" s="3504"/>
      <c r="AN28" s="3504"/>
      <c r="AO28" s="3504"/>
      <c r="AP28" s="3505"/>
      <c r="AQ28" s="28"/>
      <c r="AR28" s="28"/>
      <c r="AS28" s="3503" t="s">
        <v>262</v>
      </c>
      <c r="AT28" s="3504"/>
      <c r="AU28" s="3504"/>
      <c r="AV28" s="3504"/>
      <c r="AW28" s="3505"/>
      <c r="AX28" s="28"/>
      <c r="AY28" s="28"/>
    </row>
    <row r="29" spans="1:51" ht="40.9">
      <c r="A29" s="3525"/>
      <c r="B29" s="208"/>
      <c r="C29" s="95" t="s">
        <v>258</v>
      </c>
      <c r="D29" s="45" t="s">
        <v>249</v>
      </c>
      <c r="E29" s="45" t="s">
        <v>259</v>
      </c>
      <c r="F29" s="48" t="s">
        <v>260</v>
      </c>
      <c r="G29" s="45" t="s">
        <v>250</v>
      </c>
      <c r="H29" s="28"/>
      <c r="I29" s="101"/>
      <c r="J29" s="123" t="s">
        <v>258</v>
      </c>
      <c r="K29" s="90" t="s">
        <v>249</v>
      </c>
      <c r="L29" s="90" t="s">
        <v>259</v>
      </c>
      <c r="M29" s="93" t="s">
        <v>260</v>
      </c>
      <c r="N29" s="90" t="s">
        <v>250</v>
      </c>
      <c r="O29" s="122"/>
      <c r="P29" s="120"/>
      <c r="Q29" s="583" t="s">
        <v>258</v>
      </c>
      <c r="R29" s="614" t="s">
        <v>249</v>
      </c>
      <c r="S29" s="614" t="s">
        <v>259</v>
      </c>
      <c r="T29" s="632" t="s">
        <v>260</v>
      </c>
      <c r="U29" s="616" t="s">
        <v>250</v>
      </c>
      <c r="V29" s="28"/>
      <c r="W29" s="28"/>
      <c r="X29" s="95" t="s">
        <v>258</v>
      </c>
      <c r="Y29" s="45" t="s">
        <v>249</v>
      </c>
      <c r="Z29" s="45" t="s">
        <v>259</v>
      </c>
      <c r="AA29" s="48" t="s">
        <v>260</v>
      </c>
      <c r="AB29" s="639" t="s">
        <v>250</v>
      </c>
      <c r="AC29" s="28"/>
      <c r="AD29" s="28"/>
      <c r="AE29" s="95" t="s">
        <v>258</v>
      </c>
      <c r="AF29" s="45" t="s">
        <v>249</v>
      </c>
      <c r="AG29" s="45" t="s">
        <v>259</v>
      </c>
      <c r="AH29" s="48" t="s">
        <v>260</v>
      </c>
      <c r="AI29" s="639" t="s">
        <v>250</v>
      </c>
      <c r="AJ29" s="28"/>
      <c r="AK29" s="28"/>
      <c r="AL29" s="95" t="s">
        <v>258</v>
      </c>
      <c r="AM29" s="45" t="s">
        <v>249</v>
      </c>
      <c r="AN29" s="45" t="s">
        <v>259</v>
      </c>
      <c r="AO29" s="48" t="s">
        <v>260</v>
      </c>
      <c r="AP29" s="639" t="s">
        <v>250</v>
      </c>
      <c r="AQ29" s="28"/>
      <c r="AR29" s="28"/>
      <c r="AS29" s="95" t="s">
        <v>258</v>
      </c>
      <c r="AT29" s="45" t="s">
        <v>249</v>
      </c>
      <c r="AU29" s="45" t="s">
        <v>259</v>
      </c>
      <c r="AV29" s="48" t="s">
        <v>260</v>
      </c>
      <c r="AW29" s="639" t="s">
        <v>250</v>
      </c>
      <c r="AX29" s="28"/>
      <c r="AY29" s="28"/>
    </row>
    <row r="30" spans="1:51">
      <c r="A30" s="3525"/>
      <c r="B30" s="207" t="s">
        <v>251</v>
      </c>
      <c r="C30" s="97" t="s">
        <v>252</v>
      </c>
      <c r="D30" s="36" t="s">
        <v>252</v>
      </c>
      <c r="E30" s="36" t="s">
        <v>252</v>
      </c>
      <c r="F30" s="36" t="s">
        <v>252</v>
      </c>
      <c r="G30" s="36" t="s">
        <v>252</v>
      </c>
      <c r="I30" s="101"/>
      <c r="J30" s="128">
        <v>64</v>
      </c>
      <c r="K30" s="88">
        <v>11.8</v>
      </c>
      <c r="L30" s="88">
        <v>6.45</v>
      </c>
      <c r="M30" s="94">
        <v>1.83</v>
      </c>
      <c r="N30" s="89">
        <v>0.87</v>
      </c>
      <c r="O30" s="122"/>
      <c r="P30" s="120"/>
      <c r="Q30" s="139">
        <v>52</v>
      </c>
      <c r="R30" s="37">
        <v>10.245961538461135</v>
      </c>
      <c r="S30" s="37">
        <v>6.45</v>
      </c>
      <c r="T30" s="611">
        <v>1.5885211687536642</v>
      </c>
      <c r="U30" s="138">
        <v>0.98165923262774102</v>
      </c>
      <c r="W30" s="28"/>
      <c r="X30" s="139">
        <v>43</v>
      </c>
      <c r="Y30" s="37">
        <v>10.02</v>
      </c>
      <c r="Z30" s="37">
        <v>6.56</v>
      </c>
      <c r="AA30" s="46">
        <v>1.53</v>
      </c>
      <c r="AB30" s="138" t="s">
        <v>263</v>
      </c>
      <c r="AD30" s="28"/>
      <c r="AE30" s="139">
        <v>87</v>
      </c>
      <c r="AF30" s="37">
        <v>11.103589594278086</v>
      </c>
      <c r="AG30" s="37">
        <v>6.83</v>
      </c>
      <c r="AH30" s="46">
        <v>1.63</v>
      </c>
      <c r="AI30" s="138">
        <v>0.99</v>
      </c>
      <c r="AK30" s="28"/>
      <c r="AL30" s="1053">
        <v>143</v>
      </c>
      <c r="AM30" s="1045">
        <v>11.79</v>
      </c>
      <c r="AN30" s="1045">
        <v>7.49</v>
      </c>
      <c r="AO30" s="1051">
        <v>1.5745</v>
      </c>
      <c r="AP30" s="1046">
        <v>0.98</v>
      </c>
      <c r="AR30" s="28"/>
      <c r="AS30" s="1053">
        <v>125</v>
      </c>
      <c r="AT30" s="1045">
        <v>12.96</v>
      </c>
      <c r="AU30" s="1045">
        <v>8.6</v>
      </c>
      <c r="AV30" s="1051">
        <v>1.5075000000000001</v>
      </c>
      <c r="AW30" s="1046">
        <v>1</v>
      </c>
      <c r="AY30" s="28"/>
    </row>
    <row r="31" spans="1:51" ht="14.45" thickBot="1">
      <c r="A31" s="3525"/>
      <c r="B31" s="586" t="s">
        <v>253</v>
      </c>
      <c r="C31" s="585" t="s">
        <v>252</v>
      </c>
      <c r="D31" s="36" t="s">
        <v>252</v>
      </c>
      <c r="E31" s="36" t="s">
        <v>252</v>
      </c>
      <c r="F31" s="36" t="s">
        <v>252</v>
      </c>
      <c r="G31" s="36" t="s">
        <v>252</v>
      </c>
      <c r="I31" s="101"/>
      <c r="J31" s="128">
        <v>40</v>
      </c>
      <c r="K31" s="88">
        <v>13.57</v>
      </c>
      <c r="L31" s="88">
        <v>6.45</v>
      </c>
      <c r="M31" s="94">
        <v>2.1</v>
      </c>
      <c r="N31" s="89">
        <v>1</v>
      </c>
      <c r="O31" s="8"/>
      <c r="P31" s="122"/>
      <c r="Q31" s="633">
        <v>23</v>
      </c>
      <c r="R31" s="140">
        <v>10.437391304347409</v>
      </c>
      <c r="S31" s="140">
        <v>6.45</v>
      </c>
      <c r="T31" s="141">
        <v>1.6182002022244044</v>
      </c>
      <c r="U31" s="588">
        <v>1</v>
      </c>
      <c r="W31" s="28"/>
      <c r="X31" s="633">
        <v>38</v>
      </c>
      <c r="Y31" s="140">
        <v>10.220000000000001</v>
      </c>
      <c r="Z31" s="140">
        <v>6.56</v>
      </c>
      <c r="AA31" s="141">
        <v>1.56</v>
      </c>
      <c r="AB31" s="588" t="s">
        <v>264</v>
      </c>
      <c r="AD31" s="28"/>
      <c r="AE31" s="633">
        <v>62</v>
      </c>
      <c r="AF31" s="140">
        <v>11.2</v>
      </c>
      <c r="AG31" s="140">
        <v>6.83</v>
      </c>
      <c r="AH31" s="141">
        <v>1.64</v>
      </c>
      <c r="AI31" s="588">
        <v>1</v>
      </c>
      <c r="AK31" s="28"/>
      <c r="AL31" s="1054">
        <v>98</v>
      </c>
      <c r="AM31" s="1049">
        <v>12.09</v>
      </c>
      <c r="AN31" s="1045">
        <v>7.49</v>
      </c>
      <c r="AO31" s="1052">
        <v>1.6142000000000001</v>
      </c>
      <c r="AP31" s="1050">
        <v>1</v>
      </c>
      <c r="AR31" s="28"/>
      <c r="AS31" s="1054">
        <v>100</v>
      </c>
      <c r="AT31" s="1049">
        <v>12.91</v>
      </c>
      <c r="AU31" s="2933">
        <v>8.6</v>
      </c>
      <c r="AV31" s="1052">
        <v>1.5016</v>
      </c>
      <c r="AW31" s="1050">
        <v>0.99</v>
      </c>
      <c r="AY31" s="28"/>
    </row>
    <row r="32" spans="1:51" ht="14.45" thickBot="1">
      <c r="A32" s="3525"/>
      <c r="B32" s="30"/>
      <c r="C32" s="102"/>
      <c r="D32" s="41"/>
      <c r="E32" s="41"/>
      <c r="F32" s="47"/>
      <c r="G32" s="40"/>
      <c r="I32" s="101"/>
      <c r="J32" s="125"/>
      <c r="K32" s="126"/>
      <c r="L32" s="126"/>
      <c r="M32" s="127"/>
      <c r="N32" s="115"/>
      <c r="O32" s="8"/>
      <c r="P32" s="122"/>
      <c r="Q32" s="629"/>
      <c r="R32" s="629"/>
      <c r="S32" s="629"/>
      <c r="T32" s="630"/>
      <c r="U32" s="631"/>
      <c r="W32" s="28"/>
      <c r="X32" s="41"/>
      <c r="Y32" s="41"/>
      <c r="Z32" s="41"/>
      <c r="AA32" s="47"/>
      <c r="AB32" s="40"/>
      <c r="AD32" s="28"/>
      <c r="AE32" s="41"/>
      <c r="AF32" s="41"/>
      <c r="AG32" s="41"/>
      <c r="AH32" s="47"/>
      <c r="AI32" s="40"/>
      <c r="AK32" s="28"/>
      <c r="AL32" s="41"/>
      <c r="AM32" s="41"/>
      <c r="AN32" s="41"/>
      <c r="AO32" s="47"/>
      <c r="AP32" s="40"/>
      <c r="AR32" s="28"/>
      <c r="AS32" s="41"/>
      <c r="AT32" s="41"/>
      <c r="AU32" s="594"/>
      <c r="AV32" s="47"/>
      <c r="AW32" s="40"/>
      <c r="AY32" s="28"/>
    </row>
    <row r="33" spans="1:51" ht="15" thickBot="1">
      <c r="A33" s="3525"/>
      <c r="B33" s="34"/>
      <c r="C33" s="3503" t="s">
        <v>265</v>
      </c>
      <c r="D33" s="3504"/>
      <c r="E33" s="3504"/>
      <c r="F33" s="3504"/>
      <c r="G33" s="3542"/>
      <c r="H33" s="742"/>
      <c r="I33" s="1631"/>
      <c r="J33" s="3503" t="s">
        <v>265</v>
      </c>
      <c r="K33" s="3504"/>
      <c r="L33" s="3504"/>
      <c r="M33" s="3504"/>
      <c r="N33" s="3542"/>
      <c r="O33" s="509"/>
      <c r="P33" s="1632"/>
      <c r="Q33" s="3503" t="s">
        <v>265</v>
      </c>
      <c r="R33" s="3504"/>
      <c r="S33" s="3504"/>
      <c r="T33" s="3504"/>
      <c r="U33" s="3505"/>
      <c r="V33" s="742"/>
      <c r="W33" s="1633"/>
      <c r="X33" s="3503" t="s">
        <v>265</v>
      </c>
      <c r="Y33" s="3504"/>
      <c r="Z33" s="3504"/>
      <c r="AA33" s="3504"/>
      <c r="AB33" s="3505"/>
      <c r="AD33" s="28"/>
      <c r="AE33" s="3503" t="s">
        <v>265</v>
      </c>
      <c r="AF33" s="3504"/>
      <c r="AG33" s="3504"/>
      <c r="AH33" s="3504"/>
      <c r="AI33" s="3505"/>
      <c r="AK33" s="28"/>
      <c r="AL33" s="3503" t="s">
        <v>266</v>
      </c>
      <c r="AM33" s="3504"/>
      <c r="AN33" s="3504"/>
      <c r="AO33" s="3504"/>
      <c r="AP33" s="3505"/>
      <c r="AR33" s="28"/>
      <c r="AS33" s="3503" t="s">
        <v>267</v>
      </c>
      <c r="AT33" s="3504"/>
      <c r="AU33" s="3504"/>
      <c r="AV33" s="3504"/>
      <c r="AW33" s="3505"/>
      <c r="AY33" s="28"/>
    </row>
    <row r="34" spans="1:51" ht="40.9">
      <c r="A34" s="3525"/>
      <c r="B34" s="635"/>
      <c r="C34" s="95" t="s">
        <v>258</v>
      </c>
      <c r="D34" s="45" t="s">
        <v>249</v>
      </c>
      <c r="E34" s="45" t="s">
        <v>259</v>
      </c>
      <c r="F34" s="48" t="s">
        <v>260</v>
      </c>
      <c r="G34" s="45" t="s">
        <v>250</v>
      </c>
      <c r="I34" s="101"/>
      <c r="J34" s="123" t="s">
        <v>258</v>
      </c>
      <c r="K34" s="90" t="s">
        <v>249</v>
      </c>
      <c r="L34" s="90" t="s">
        <v>259</v>
      </c>
      <c r="M34" s="93" t="s">
        <v>260</v>
      </c>
      <c r="N34" s="90" t="s">
        <v>250</v>
      </c>
      <c r="O34" s="8"/>
      <c r="P34" s="120"/>
      <c r="Q34" s="583" t="s">
        <v>258</v>
      </c>
      <c r="R34" s="614" t="s">
        <v>249</v>
      </c>
      <c r="S34" s="614" t="s">
        <v>259</v>
      </c>
      <c r="T34" s="632" t="s">
        <v>260</v>
      </c>
      <c r="U34" s="616" t="s">
        <v>250</v>
      </c>
      <c r="W34" s="101"/>
      <c r="X34" s="583" t="s">
        <v>258</v>
      </c>
      <c r="Y34" s="614" t="s">
        <v>249</v>
      </c>
      <c r="Z34" s="614" t="s">
        <v>259</v>
      </c>
      <c r="AA34" s="632" t="s">
        <v>260</v>
      </c>
      <c r="AB34" s="616" t="s">
        <v>250</v>
      </c>
      <c r="AD34" s="28"/>
      <c r="AE34" s="95" t="s">
        <v>258</v>
      </c>
      <c r="AF34" s="45" t="s">
        <v>249</v>
      </c>
      <c r="AG34" s="45" t="s">
        <v>259</v>
      </c>
      <c r="AH34" s="48" t="s">
        <v>260</v>
      </c>
      <c r="AI34" s="639" t="s">
        <v>250</v>
      </c>
      <c r="AK34" s="28"/>
      <c r="AL34" s="95" t="s">
        <v>258</v>
      </c>
      <c r="AM34" s="45" t="s">
        <v>249</v>
      </c>
      <c r="AN34" s="45" t="s">
        <v>259</v>
      </c>
      <c r="AO34" s="48" t="s">
        <v>260</v>
      </c>
      <c r="AP34" s="639" t="s">
        <v>250</v>
      </c>
      <c r="AR34" s="28"/>
      <c r="AS34" s="95" t="s">
        <v>258</v>
      </c>
      <c r="AT34" s="45" t="s">
        <v>249</v>
      </c>
      <c r="AU34" s="45" t="s">
        <v>259</v>
      </c>
      <c r="AV34" s="48" t="s">
        <v>260</v>
      </c>
      <c r="AW34" s="639" t="s">
        <v>250</v>
      </c>
      <c r="AY34" s="28"/>
    </row>
    <row r="35" spans="1:51">
      <c r="A35" s="3525"/>
      <c r="B35" s="634" t="s">
        <v>251</v>
      </c>
      <c r="C35" s="97" t="s">
        <v>252</v>
      </c>
      <c r="D35" s="36" t="s">
        <v>252</v>
      </c>
      <c r="E35" s="36" t="s">
        <v>252</v>
      </c>
      <c r="F35" s="36" t="s">
        <v>252</v>
      </c>
      <c r="G35" s="36" t="s">
        <v>252</v>
      </c>
      <c r="I35" s="101"/>
      <c r="J35" s="128">
        <v>281</v>
      </c>
      <c r="K35" s="88">
        <v>13.69</v>
      </c>
      <c r="L35" s="88">
        <v>8.1999999999999993</v>
      </c>
      <c r="M35" s="94">
        <v>1.67</v>
      </c>
      <c r="N35" s="89">
        <v>0.98</v>
      </c>
      <c r="O35" s="8"/>
      <c r="P35" s="120"/>
      <c r="Q35" s="139">
        <v>201</v>
      </c>
      <c r="R35" s="37">
        <v>12.211343283582613</v>
      </c>
      <c r="S35" s="37">
        <v>8.1999999999999993</v>
      </c>
      <c r="T35" s="611">
        <v>1.489188205314953</v>
      </c>
      <c r="U35" s="138">
        <v>1</v>
      </c>
      <c r="W35" s="101"/>
      <c r="X35" s="139">
        <v>60</v>
      </c>
      <c r="Y35" s="37">
        <v>11.22</v>
      </c>
      <c r="Z35" s="37">
        <v>8.36</v>
      </c>
      <c r="AA35" s="611">
        <v>1.34</v>
      </c>
      <c r="AB35" s="138" t="s">
        <v>268</v>
      </c>
      <c r="AD35" s="28"/>
      <c r="AE35" s="139">
        <v>100</v>
      </c>
      <c r="AF35" s="37">
        <v>11.77</v>
      </c>
      <c r="AG35" s="37">
        <v>9.18</v>
      </c>
      <c r="AH35" s="46">
        <v>1.28</v>
      </c>
      <c r="AI35" s="138">
        <v>0.96</v>
      </c>
      <c r="AK35" s="28"/>
      <c r="AL35" s="1053">
        <v>128</v>
      </c>
      <c r="AM35" s="1045">
        <v>12.98</v>
      </c>
      <c r="AN35" s="1045">
        <v>10.18</v>
      </c>
      <c r="AO35" s="1051">
        <v>1.2747999999999999</v>
      </c>
      <c r="AP35" s="1046">
        <v>1</v>
      </c>
      <c r="AR35" s="28"/>
      <c r="AS35" s="3052">
        <v>4939</v>
      </c>
      <c r="AT35" s="1045">
        <v>18.84</v>
      </c>
      <c r="AU35" s="1045">
        <v>11.44</v>
      </c>
      <c r="AV35" s="1051">
        <v>1.6465000000000001</v>
      </c>
      <c r="AW35" s="1046">
        <v>1</v>
      </c>
      <c r="AY35" s="28"/>
    </row>
    <row r="36" spans="1:51" ht="14.45" thickBot="1">
      <c r="A36" s="3525"/>
      <c r="B36" s="586" t="s">
        <v>253</v>
      </c>
      <c r="C36" s="104" t="s">
        <v>252</v>
      </c>
      <c r="D36" s="105" t="s">
        <v>252</v>
      </c>
      <c r="E36" s="105" t="s">
        <v>252</v>
      </c>
      <c r="F36" s="105" t="s">
        <v>252</v>
      </c>
      <c r="G36" s="105" t="s">
        <v>252</v>
      </c>
      <c r="H36" s="106"/>
      <c r="I36" s="620"/>
      <c r="J36" s="1634">
        <v>229</v>
      </c>
      <c r="K36" s="133">
        <v>13.99</v>
      </c>
      <c r="L36" s="133">
        <v>8.1999999999999993</v>
      </c>
      <c r="M36" s="134">
        <v>1.71</v>
      </c>
      <c r="N36" s="135">
        <v>1</v>
      </c>
      <c r="O36" s="136"/>
      <c r="P36" s="625"/>
      <c r="Q36" s="633">
        <v>153</v>
      </c>
      <c r="R36" s="140">
        <v>11.619411764706076</v>
      </c>
      <c r="S36" s="140">
        <v>8.1999999999999993</v>
      </c>
      <c r="T36" s="141">
        <v>1.4170014347202533</v>
      </c>
      <c r="U36" s="588">
        <v>0.95152609298336965</v>
      </c>
      <c r="V36" s="106"/>
      <c r="W36" s="619"/>
      <c r="X36" s="633">
        <v>42</v>
      </c>
      <c r="Y36" s="140">
        <v>10.6</v>
      </c>
      <c r="Z36" s="140">
        <v>8.36</v>
      </c>
      <c r="AA36" s="141">
        <v>1.27</v>
      </c>
      <c r="AB36" s="588" t="s">
        <v>268</v>
      </c>
      <c r="AD36" s="28"/>
      <c r="AE36" s="633">
        <v>88</v>
      </c>
      <c r="AF36" s="140">
        <v>12.15</v>
      </c>
      <c r="AG36" s="140">
        <v>9.18</v>
      </c>
      <c r="AH36" s="141">
        <v>1.32</v>
      </c>
      <c r="AI36" s="588">
        <v>1</v>
      </c>
      <c r="AK36" s="28"/>
      <c r="AL36" s="1054">
        <v>126</v>
      </c>
      <c r="AM36" s="1049">
        <v>12.52</v>
      </c>
      <c r="AN36" s="1049">
        <v>10.18</v>
      </c>
      <c r="AO36" s="1052">
        <v>1.2296</v>
      </c>
      <c r="AP36" s="1050">
        <v>0.96</v>
      </c>
      <c r="AR36" s="28"/>
      <c r="AS36" s="1047">
        <v>2839</v>
      </c>
      <c r="AT36" s="1049">
        <v>17.89</v>
      </c>
      <c r="AU36" s="1049">
        <v>11.44</v>
      </c>
      <c r="AV36" s="1052">
        <v>1.5638000000000001</v>
      </c>
      <c r="AW36" s="1050">
        <v>0.95</v>
      </c>
      <c r="AY36" s="28"/>
    </row>
    <row r="37" spans="1:51" ht="14.45" thickBot="1">
      <c r="A37" s="3525"/>
      <c r="B37" s="30"/>
      <c r="C37" s="102"/>
      <c r="D37" s="41"/>
      <c r="E37" s="41"/>
      <c r="F37" s="41"/>
      <c r="G37" s="41"/>
      <c r="I37" s="103"/>
      <c r="J37" s="129"/>
      <c r="K37" s="130"/>
      <c r="L37" s="130"/>
      <c r="M37" s="130"/>
      <c r="N37" s="130"/>
      <c r="O37" s="8"/>
      <c r="P37" s="122"/>
      <c r="Q37" s="41"/>
      <c r="R37" s="41"/>
      <c r="S37" s="41"/>
      <c r="T37" s="41"/>
      <c r="U37" s="41"/>
      <c r="X37" s="41"/>
      <c r="Y37" s="41"/>
      <c r="Z37" s="41"/>
      <c r="AA37" s="41"/>
      <c r="AB37" s="41"/>
      <c r="AE37" s="41"/>
      <c r="AF37" s="41"/>
      <c r="AG37" s="41"/>
      <c r="AH37" s="41"/>
      <c r="AI37" s="41"/>
      <c r="AL37" s="41"/>
      <c r="AM37" s="41"/>
      <c r="AN37" s="41"/>
      <c r="AO37" s="41"/>
      <c r="AP37" s="41"/>
      <c r="AS37" s="41"/>
      <c r="AT37" s="41"/>
      <c r="AU37" s="41"/>
      <c r="AV37" s="41"/>
      <c r="AW37" s="41"/>
    </row>
    <row r="38" spans="1:51" ht="14.65" customHeight="1" thickBot="1">
      <c r="A38" s="3525"/>
      <c r="B38" s="638"/>
      <c r="C38" s="3527" t="s">
        <v>269</v>
      </c>
      <c r="D38" s="3516"/>
      <c r="E38" s="3516"/>
      <c r="F38" s="3516"/>
      <c r="G38" s="3528"/>
      <c r="I38" s="103"/>
      <c r="J38" s="3515" t="s">
        <v>269</v>
      </c>
      <c r="K38" s="3516"/>
      <c r="L38" s="3516"/>
      <c r="M38" s="3516"/>
      <c r="N38" s="3528"/>
      <c r="O38" s="8"/>
      <c r="P38" s="8"/>
      <c r="Q38" s="3535" t="s">
        <v>269</v>
      </c>
      <c r="R38" s="3536"/>
      <c r="S38" s="3536"/>
      <c r="T38" s="3536"/>
      <c r="U38" s="3540"/>
      <c r="X38" s="3503" t="s">
        <v>269</v>
      </c>
      <c r="Y38" s="3504"/>
      <c r="Z38" s="3504"/>
      <c r="AA38" s="3504"/>
      <c r="AB38" s="3538"/>
      <c r="AE38" s="3503" t="s">
        <v>269</v>
      </c>
      <c r="AF38" s="3504"/>
      <c r="AG38" s="3504"/>
      <c r="AH38" s="3504"/>
      <c r="AI38" s="3505"/>
      <c r="AL38" s="3503" t="s">
        <v>270</v>
      </c>
      <c r="AM38" s="3504"/>
      <c r="AN38" s="3504"/>
      <c r="AO38" s="3504"/>
      <c r="AP38" s="3505"/>
    </row>
    <row r="39" spans="1:51" ht="40.9">
      <c r="A39" s="3525"/>
      <c r="B39" s="637"/>
      <c r="C39" s="95" t="s">
        <v>258</v>
      </c>
      <c r="D39" s="45" t="s">
        <v>249</v>
      </c>
      <c r="E39" s="45" t="s">
        <v>259</v>
      </c>
      <c r="F39" s="48" t="s">
        <v>260</v>
      </c>
      <c r="G39" s="45" t="s">
        <v>250</v>
      </c>
      <c r="I39" s="103"/>
      <c r="J39" s="123" t="s">
        <v>258</v>
      </c>
      <c r="K39" s="90" t="s">
        <v>249</v>
      </c>
      <c r="L39" s="90" t="s">
        <v>259</v>
      </c>
      <c r="M39" s="93" t="s">
        <v>260</v>
      </c>
      <c r="N39" s="90" t="s">
        <v>250</v>
      </c>
      <c r="O39" s="8"/>
      <c r="P39" s="131"/>
      <c r="Q39" s="583" t="s">
        <v>258</v>
      </c>
      <c r="R39" s="614" t="s">
        <v>249</v>
      </c>
      <c r="S39" s="614" t="s">
        <v>259</v>
      </c>
      <c r="T39" s="632" t="s">
        <v>260</v>
      </c>
      <c r="U39" s="616" t="s">
        <v>250</v>
      </c>
      <c r="W39" s="103"/>
      <c r="X39" s="583" t="s">
        <v>258</v>
      </c>
      <c r="Y39" s="614" t="s">
        <v>249</v>
      </c>
      <c r="Z39" s="614" t="s">
        <v>259</v>
      </c>
      <c r="AA39" s="632" t="s">
        <v>260</v>
      </c>
      <c r="AB39" s="616" t="s">
        <v>250</v>
      </c>
      <c r="AE39" s="95" t="s">
        <v>258</v>
      </c>
      <c r="AF39" s="45" t="s">
        <v>249</v>
      </c>
      <c r="AG39" s="45" t="s">
        <v>259</v>
      </c>
      <c r="AH39" s="48" t="s">
        <v>260</v>
      </c>
      <c r="AI39" s="639" t="s">
        <v>250</v>
      </c>
      <c r="AL39" s="95" t="s">
        <v>258</v>
      </c>
      <c r="AM39" s="45" t="s">
        <v>249</v>
      </c>
      <c r="AN39" s="45" t="s">
        <v>259</v>
      </c>
      <c r="AO39" s="48" t="s">
        <v>260</v>
      </c>
      <c r="AP39" s="639" t="s">
        <v>250</v>
      </c>
    </row>
    <row r="40" spans="1:51">
      <c r="A40" s="3525"/>
      <c r="B40" s="207" t="s">
        <v>251</v>
      </c>
      <c r="C40" s="97" t="s">
        <v>252</v>
      </c>
      <c r="D40" s="36" t="s">
        <v>252</v>
      </c>
      <c r="E40" s="36" t="s">
        <v>252</v>
      </c>
      <c r="F40" s="36" t="s">
        <v>252</v>
      </c>
      <c r="G40" s="36" t="s">
        <v>252</v>
      </c>
      <c r="I40" s="103"/>
      <c r="J40" s="110">
        <v>4086</v>
      </c>
      <c r="K40" s="88">
        <v>19.22</v>
      </c>
      <c r="L40" s="88">
        <v>8.7200000000000006</v>
      </c>
      <c r="M40" s="94">
        <v>2.2000000000000002</v>
      </c>
      <c r="N40" s="89">
        <v>1</v>
      </c>
      <c r="O40" s="8"/>
      <c r="P40" s="131"/>
      <c r="Q40" s="97">
        <v>3141</v>
      </c>
      <c r="R40" s="37">
        <v>17.401929321872021</v>
      </c>
      <c r="S40" s="37">
        <v>8.7200000000000006</v>
      </c>
      <c r="T40" s="611">
        <v>1.9956340965449564</v>
      </c>
      <c r="U40" s="138">
        <v>1</v>
      </c>
      <c r="W40" s="103"/>
      <c r="X40" s="97">
        <v>3121</v>
      </c>
      <c r="Y40" s="37">
        <v>16.16</v>
      </c>
      <c r="Z40" s="37">
        <v>8.91</v>
      </c>
      <c r="AA40" s="611">
        <v>1.81</v>
      </c>
      <c r="AB40" s="138" t="s">
        <v>271</v>
      </c>
      <c r="AE40" s="97">
        <v>4022</v>
      </c>
      <c r="AF40" s="37">
        <v>16.175369675748854</v>
      </c>
      <c r="AG40" s="37">
        <v>9.5</v>
      </c>
      <c r="AH40" s="46">
        <v>1.7</v>
      </c>
      <c r="AI40" s="138">
        <v>1</v>
      </c>
      <c r="AL40" s="1043">
        <v>4441</v>
      </c>
      <c r="AM40" s="1045">
        <v>17.89</v>
      </c>
      <c r="AN40" s="1045">
        <v>10.42</v>
      </c>
      <c r="AO40" s="1051">
        <v>1.7172000000000001</v>
      </c>
      <c r="AP40" s="1046">
        <v>1</v>
      </c>
    </row>
    <row r="41" spans="1:51" ht="14.45" thickBot="1">
      <c r="A41" s="3526"/>
      <c r="B41" s="581" t="s">
        <v>253</v>
      </c>
      <c r="C41" s="104" t="s">
        <v>252</v>
      </c>
      <c r="D41" s="105" t="s">
        <v>252</v>
      </c>
      <c r="E41" s="105" t="s">
        <v>252</v>
      </c>
      <c r="F41" s="105" t="s">
        <v>252</v>
      </c>
      <c r="G41" s="105" t="s">
        <v>252</v>
      </c>
      <c r="H41" s="106"/>
      <c r="I41" s="107"/>
      <c r="J41" s="132">
        <v>2322</v>
      </c>
      <c r="K41" s="133">
        <v>17.77</v>
      </c>
      <c r="L41" s="133">
        <v>8.7200000000000006</v>
      </c>
      <c r="M41" s="134">
        <v>2.04</v>
      </c>
      <c r="N41" s="135">
        <v>0.92</v>
      </c>
      <c r="O41" s="136"/>
      <c r="P41" s="137"/>
      <c r="Q41" s="104">
        <v>1676</v>
      </c>
      <c r="R41" s="140">
        <v>15.747142004773208</v>
      </c>
      <c r="S41" s="140">
        <v>8.7200000000000006</v>
      </c>
      <c r="T41" s="141">
        <v>1.8058649088042669</v>
      </c>
      <c r="U41" s="588">
        <v>0.90490782450087559</v>
      </c>
      <c r="W41" s="103"/>
      <c r="X41" s="104">
        <v>1737</v>
      </c>
      <c r="Y41" s="140">
        <v>14.59</v>
      </c>
      <c r="Z41" s="140">
        <v>8.91</v>
      </c>
      <c r="AA41" s="627">
        <v>1.64</v>
      </c>
      <c r="AB41" s="588" t="s">
        <v>264</v>
      </c>
      <c r="AE41" s="104">
        <v>2086</v>
      </c>
      <c r="AF41" s="140">
        <v>15.39013645750002</v>
      </c>
      <c r="AG41" s="140">
        <v>9.5</v>
      </c>
      <c r="AH41" s="141">
        <v>1.62</v>
      </c>
      <c r="AI41" s="588">
        <v>0.95</v>
      </c>
      <c r="AL41" s="1047">
        <v>2405</v>
      </c>
      <c r="AM41" s="1049">
        <v>16.91</v>
      </c>
      <c r="AN41" s="1049">
        <v>10.42</v>
      </c>
      <c r="AO41" s="1052">
        <v>1.6233</v>
      </c>
      <c r="AP41" s="1050">
        <v>0.95</v>
      </c>
    </row>
    <row r="42" spans="1:51">
      <c r="B42" s="636"/>
      <c r="O42" s="8"/>
      <c r="P42" s="8"/>
    </row>
  </sheetData>
  <mergeCells count="53">
    <mergeCell ref="AS33:AW33"/>
    <mergeCell ref="AS8:AY8"/>
    <mergeCell ref="AS9:AY9"/>
    <mergeCell ref="AS22:AW22"/>
    <mergeCell ref="AS23:AW23"/>
    <mergeCell ref="AS28:AW28"/>
    <mergeCell ref="AE38:AI38"/>
    <mergeCell ref="AE8:AK8"/>
    <mergeCell ref="AE9:AK9"/>
    <mergeCell ref="AE22:AI22"/>
    <mergeCell ref="AE23:AI23"/>
    <mergeCell ref="AE28:AI28"/>
    <mergeCell ref="C8:I8"/>
    <mergeCell ref="C9:I9"/>
    <mergeCell ref="C22:G22"/>
    <mergeCell ref="C33:G33"/>
    <mergeCell ref="AE33:AI33"/>
    <mergeCell ref="Q38:U38"/>
    <mergeCell ref="J8:P8"/>
    <mergeCell ref="Q8:W8"/>
    <mergeCell ref="J23:N23"/>
    <mergeCell ref="J28:N28"/>
    <mergeCell ref="J33:N33"/>
    <mergeCell ref="X38:AB38"/>
    <mergeCell ref="X8:AD8"/>
    <mergeCell ref="X9:AD9"/>
    <mergeCell ref="X22:AB22"/>
    <mergeCell ref="X23:AB23"/>
    <mergeCell ref="X28:AB28"/>
    <mergeCell ref="X33:AB33"/>
    <mergeCell ref="A4:W4"/>
    <mergeCell ref="A5:V6"/>
    <mergeCell ref="B7:Q7"/>
    <mergeCell ref="A8:A9"/>
    <mergeCell ref="A10:A41"/>
    <mergeCell ref="C38:G38"/>
    <mergeCell ref="C28:G28"/>
    <mergeCell ref="C23:G23"/>
    <mergeCell ref="J38:N38"/>
    <mergeCell ref="J9:P9"/>
    <mergeCell ref="J22:N22"/>
    <mergeCell ref="Q9:W9"/>
    <mergeCell ref="Q22:U22"/>
    <mergeCell ref="Q23:U23"/>
    <mergeCell ref="Q28:U28"/>
    <mergeCell ref="Q33:U33"/>
    <mergeCell ref="AL33:AP33"/>
    <mergeCell ref="AL38:AP38"/>
    <mergeCell ref="AL8:AR8"/>
    <mergeCell ref="AL9:AR9"/>
    <mergeCell ref="AL22:AP22"/>
    <mergeCell ref="AL23:AP23"/>
    <mergeCell ref="AL28:AP28"/>
  </mergeCells>
  <pageMargins left="0.25" right="0.25" top="0.75" bottom="0.75" header="0.3" footer="0.3"/>
  <pageSetup paperSize="8" orientation="landscape" r:id="rId1"/>
  <headerFooter>
    <oddFooter>&amp;C_x000D_&amp;1#&amp;"Calibri"&amp;10&amp;K000000 C2 - Internal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289B0-ABFA-4197-96EF-693B3358FC18}">
  <sheetPr codeName="Sheet13">
    <tabColor theme="0"/>
  </sheetPr>
  <dimension ref="A1:K23"/>
  <sheetViews>
    <sheetView showGridLines="0" topLeftCell="B1" zoomScaleNormal="100" workbookViewId="0">
      <pane xSplit="4" ySplit="4" topLeftCell="F5" activePane="bottomRight" state="frozen"/>
      <selection pane="bottomRight" activeCell="B1" sqref="B1"/>
      <selection pane="bottomLeft"/>
      <selection pane="topRight"/>
    </sheetView>
  </sheetViews>
  <sheetFormatPr defaultColWidth="8.85546875" defaultRowHeight="13.9"/>
  <cols>
    <col min="1" max="1" width="5" style="8" customWidth="1"/>
    <col min="2" max="2" width="23.7109375" style="8" customWidth="1"/>
    <col min="3" max="3" width="55.28515625" style="8" customWidth="1"/>
    <col min="4" max="5" width="20.7109375" style="8" hidden="1" customWidth="1"/>
    <col min="6" max="11" width="29.5703125" style="8" customWidth="1"/>
    <col min="12" max="16384" width="8.85546875" style="8"/>
  </cols>
  <sheetData>
    <row r="1" spans="1:11" ht="17.45">
      <c r="B1" s="15" t="s">
        <v>272</v>
      </c>
    </row>
    <row r="2" spans="1:11" ht="17.45">
      <c r="B2" s="15" t="s">
        <v>273</v>
      </c>
      <c r="C2" s="15"/>
      <c r="D2" s="9"/>
      <c r="F2" s="212"/>
    </row>
    <row r="3" spans="1:11" ht="18" thickBot="1">
      <c r="B3" s="202"/>
      <c r="C3" s="15"/>
      <c r="D3" s="9"/>
    </row>
    <row r="4" spans="1:11" ht="15" customHeight="1" thickBot="1">
      <c r="A4" s="1897"/>
      <c r="B4" s="1896"/>
      <c r="C4" s="1889"/>
      <c r="D4" s="3573" t="s">
        <v>12</v>
      </c>
      <c r="E4" s="3574"/>
      <c r="F4" s="2232" t="s">
        <v>13</v>
      </c>
      <c r="G4" s="2233" t="s">
        <v>14</v>
      </c>
      <c r="H4" s="2234" t="s">
        <v>15</v>
      </c>
      <c r="I4" s="2234" t="s">
        <v>16</v>
      </c>
      <c r="J4" s="2235" t="s">
        <v>163</v>
      </c>
      <c r="K4" s="2235" t="s">
        <v>164</v>
      </c>
    </row>
    <row r="5" spans="1:11" ht="14.45">
      <c r="A5" s="3549"/>
      <c r="B5" s="3554" t="s">
        <v>274</v>
      </c>
      <c r="C5" s="1890" t="s">
        <v>275</v>
      </c>
      <c r="D5" s="3563">
        <v>381</v>
      </c>
      <c r="E5" s="3564"/>
      <c r="F5" s="2236">
        <v>385</v>
      </c>
      <c r="G5" s="2237">
        <v>293</v>
      </c>
      <c r="H5" s="2238">
        <v>271</v>
      </c>
      <c r="I5" s="1736">
        <v>306</v>
      </c>
      <c r="J5" s="2239">
        <v>331</v>
      </c>
      <c r="K5" s="3053">
        <v>366</v>
      </c>
    </row>
    <row r="6" spans="1:11" ht="14.45">
      <c r="A6" s="3550"/>
      <c r="B6" s="3555"/>
      <c r="C6" s="1891" t="s">
        <v>276</v>
      </c>
      <c r="D6" s="3559">
        <v>83</v>
      </c>
      <c r="E6" s="3560"/>
      <c r="F6" s="2181">
        <v>81</v>
      </c>
      <c r="G6" s="2240">
        <v>52</v>
      </c>
      <c r="H6" s="2241">
        <v>46</v>
      </c>
      <c r="I6" s="54">
        <v>46</v>
      </c>
      <c r="J6" s="2242">
        <v>52</v>
      </c>
      <c r="K6" s="3054">
        <v>54</v>
      </c>
    </row>
    <row r="7" spans="1:11" ht="15" thickBot="1">
      <c r="A7" s="3550"/>
      <c r="B7" s="3556"/>
      <c r="C7" s="1892" t="s">
        <v>277</v>
      </c>
      <c r="D7" s="3565">
        <v>0.22</v>
      </c>
      <c r="E7" s="3566"/>
      <c r="F7" s="2219">
        <v>0.21</v>
      </c>
      <c r="G7" s="3060">
        <v>0.18</v>
      </c>
      <c r="H7" s="3061">
        <v>0.17</v>
      </c>
      <c r="I7" s="3062">
        <v>0.15</v>
      </c>
      <c r="J7" s="877">
        <f>J6/J5</f>
        <v>0.15709969788519637</v>
      </c>
      <c r="K7" s="877">
        <f>K6/K5</f>
        <v>0.14754098360655737</v>
      </c>
    </row>
    <row r="8" spans="1:11" ht="14.45">
      <c r="A8" s="3550"/>
      <c r="B8" s="3557" t="s">
        <v>278</v>
      </c>
      <c r="C8" s="1893" t="s">
        <v>275</v>
      </c>
      <c r="D8" s="3575">
        <v>509</v>
      </c>
      <c r="E8" s="3576"/>
      <c r="F8" s="2236">
        <v>455</v>
      </c>
      <c r="G8" s="2247">
        <v>372</v>
      </c>
      <c r="H8" s="2248">
        <v>361</v>
      </c>
      <c r="I8" s="1735">
        <v>425</v>
      </c>
      <c r="J8" s="2239">
        <v>371</v>
      </c>
      <c r="K8" s="3053">
        <v>491</v>
      </c>
    </row>
    <row r="9" spans="1:11" ht="14.45">
      <c r="A9" s="3550"/>
      <c r="B9" s="3555"/>
      <c r="C9" s="1891" t="s">
        <v>276</v>
      </c>
      <c r="D9" s="3559">
        <v>96</v>
      </c>
      <c r="E9" s="3560"/>
      <c r="F9" s="2181">
        <v>80</v>
      </c>
      <c r="G9" s="2240">
        <v>66</v>
      </c>
      <c r="H9" s="2241">
        <v>71</v>
      </c>
      <c r="I9" s="54">
        <v>83</v>
      </c>
      <c r="J9" s="2242">
        <v>63</v>
      </c>
      <c r="K9" s="3054">
        <v>72</v>
      </c>
    </row>
    <row r="10" spans="1:11" ht="15" thickBot="1">
      <c r="A10" s="3550"/>
      <c r="B10" s="3558"/>
      <c r="C10" s="1894" t="s">
        <v>277</v>
      </c>
      <c r="D10" s="3561">
        <v>0.19</v>
      </c>
      <c r="E10" s="3562"/>
      <c r="F10" s="1250">
        <v>0.18</v>
      </c>
      <c r="G10" s="3063">
        <v>0.18</v>
      </c>
      <c r="H10" s="3064">
        <v>0.2</v>
      </c>
      <c r="I10" s="3065">
        <v>0.2</v>
      </c>
      <c r="J10" s="877">
        <f>J9/J8</f>
        <v>0.16981132075471697</v>
      </c>
      <c r="K10" s="877">
        <f>K9/K8</f>
        <v>0.14663951120162932</v>
      </c>
    </row>
    <row r="11" spans="1:11" ht="14.45">
      <c r="A11" s="3550"/>
      <c r="B11" s="3554" t="s">
        <v>279</v>
      </c>
      <c r="C11" s="1890" t="s">
        <v>275</v>
      </c>
      <c r="D11" s="3563">
        <v>720</v>
      </c>
      <c r="E11" s="3564"/>
      <c r="F11" s="2249">
        <v>717</v>
      </c>
      <c r="G11" s="2237">
        <v>474</v>
      </c>
      <c r="H11" s="2238">
        <v>450</v>
      </c>
      <c r="I11" s="1736">
        <v>502</v>
      </c>
      <c r="J11" s="2239">
        <v>567</v>
      </c>
      <c r="K11" s="3053">
        <v>619</v>
      </c>
    </row>
    <row r="12" spans="1:11" ht="14.45">
      <c r="A12" s="3550"/>
      <c r="B12" s="3555"/>
      <c r="C12" s="1891" t="s">
        <v>280</v>
      </c>
      <c r="D12" s="3559">
        <v>266</v>
      </c>
      <c r="E12" s="3560"/>
      <c r="F12" s="2181">
        <v>264</v>
      </c>
      <c r="G12" s="2240">
        <v>168</v>
      </c>
      <c r="H12" s="2241">
        <v>166</v>
      </c>
      <c r="I12" s="54">
        <v>167</v>
      </c>
      <c r="J12" s="2242">
        <v>195</v>
      </c>
      <c r="K12" s="3054">
        <v>194</v>
      </c>
    </row>
    <row r="13" spans="1:11" ht="15" thickBot="1">
      <c r="A13" s="3550"/>
      <c r="B13" s="3558"/>
      <c r="C13" s="1892" t="s">
        <v>281</v>
      </c>
      <c r="D13" s="3565">
        <v>0.37</v>
      </c>
      <c r="E13" s="3566"/>
      <c r="F13" s="2219">
        <v>0.37</v>
      </c>
      <c r="G13" s="3060">
        <v>0.35</v>
      </c>
      <c r="H13" s="3061">
        <v>0.37</v>
      </c>
      <c r="I13" s="3062">
        <v>0.33</v>
      </c>
      <c r="J13" s="877">
        <f>J12/J11</f>
        <v>0.3439153439153439</v>
      </c>
      <c r="K13" s="877">
        <f>K12/K11</f>
        <v>0.31340872374798062</v>
      </c>
    </row>
    <row r="14" spans="1:11" ht="15" hidden="1" thickBot="1">
      <c r="A14" s="3550"/>
      <c r="B14" s="3554" t="s">
        <v>282</v>
      </c>
      <c r="C14" s="1890" t="s">
        <v>275</v>
      </c>
      <c r="D14" s="1009"/>
      <c r="E14" s="1895"/>
      <c r="F14" s="2249" t="s">
        <v>24</v>
      </c>
      <c r="G14" s="1736" t="s">
        <v>24</v>
      </c>
      <c r="H14" s="2237" t="s">
        <v>24</v>
      </c>
      <c r="I14" s="1736"/>
      <c r="J14" s="2250"/>
      <c r="K14" s="2250"/>
    </row>
    <row r="15" spans="1:11" ht="15" hidden="1" thickBot="1">
      <c r="A15" s="3550"/>
      <c r="B15" s="3555"/>
      <c r="C15" s="1891" t="s">
        <v>283</v>
      </c>
      <c r="D15" s="1009"/>
      <c r="E15" s="1895"/>
      <c r="F15" s="2181" t="s">
        <v>24</v>
      </c>
      <c r="G15" s="54" t="s">
        <v>24</v>
      </c>
      <c r="H15" s="2240" t="s">
        <v>24</v>
      </c>
      <c r="I15" s="54"/>
      <c r="J15" s="2251"/>
      <c r="K15" s="2251"/>
    </row>
    <row r="16" spans="1:11" ht="15" hidden="1" thickBot="1">
      <c r="A16" s="3550"/>
      <c r="B16" s="3558"/>
      <c r="C16" s="1892" t="s">
        <v>284</v>
      </c>
      <c r="D16" s="1009"/>
      <c r="E16" s="1895"/>
      <c r="F16" s="2243" t="s">
        <v>24</v>
      </c>
      <c r="G16" s="2245" t="s">
        <v>24</v>
      </c>
      <c r="H16" s="2244" t="s">
        <v>24</v>
      </c>
      <c r="I16" s="2245"/>
      <c r="J16" s="2246" t="e">
        <f>J15/J14</f>
        <v>#DIV/0!</v>
      </c>
      <c r="K16" s="2246" t="e">
        <f>K15/K14</f>
        <v>#DIV/0!</v>
      </c>
    </row>
    <row r="17" spans="1:11" ht="14.45">
      <c r="A17" s="3550"/>
      <c r="B17" s="3554" t="s">
        <v>183</v>
      </c>
      <c r="C17" s="1893" t="s">
        <v>275</v>
      </c>
      <c r="D17" s="3577">
        <v>1610</v>
      </c>
      <c r="E17" s="3578"/>
      <c r="F17" s="2252">
        <v>1557</v>
      </c>
      <c r="G17" s="2253">
        <f>SUM(G11+G8+G5)</f>
        <v>1139</v>
      </c>
      <c r="H17" s="2254">
        <v>1082</v>
      </c>
      <c r="I17" s="2253">
        <v>1233</v>
      </c>
      <c r="J17" s="2255">
        <f>SUM(J5,J8,J11,J14)</f>
        <v>1269</v>
      </c>
      <c r="K17" s="2255">
        <f>SUM(K5,K8,K11,K14)</f>
        <v>1476</v>
      </c>
    </row>
    <row r="18" spans="1:11" ht="14.45">
      <c r="A18" s="3550"/>
      <c r="B18" s="3555"/>
      <c r="C18" s="1891" t="s">
        <v>285</v>
      </c>
      <c r="D18" s="3579">
        <v>445</v>
      </c>
      <c r="E18" s="3580"/>
      <c r="F18" s="2256">
        <v>425</v>
      </c>
      <c r="G18" s="2257">
        <f>G12+G9+G6</f>
        <v>286</v>
      </c>
      <c r="H18" s="2258">
        <v>283</v>
      </c>
      <c r="I18" s="2259">
        <v>296</v>
      </c>
      <c r="J18" s="2260">
        <f>SUM(J6,J9,J12,J15)</f>
        <v>310</v>
      </c>
      <c r="K18" s="2260">
        <f>SUM(K6,K9,K12,K15)</f>
        <v>320</v>
      </c>
    </row>
    <row r="19" spans="1:11" ht="14.45">
      <c r="A19" s="3550"/>
      <c r="B19" s="3555"/>
      <c r="C19" s="1891" t="s">
        <v>277</v>
      </c>
      <c r="D19" s="3581">
        <v>0.28000000000000003</v>
      </c>
      <c r="E19" s="3582"/>
      <c r="F19" s="2484">
        <v>0.27</v>
      </c>
      <c r="G19" s="3049">
        <f t="shared" ref="G19" si="0">(G18/G17)*1</f>
        <v>0.25109745390693589</v>
      </c>
      <c r="H19" s="3058">
        <v>0.26</v>
      </c>
      <c r="I19" s="2486">
        <v>0.24</v>
      </c>
      <c r="J19" s="3059">
        <f>J18/J17</f>
        <v>0.24428684003152087</v>
      </c>
      <c r="K19" s="3059">
        <f>K18/K17</f>
        <v>0.21680216802168023</v>
      </c>
    </row>
    <row r="20" spans="1:11" ht="45" customHeight="1" thickBot="1">
      <c r="A20" s="3551"/>
      <c r="B20" s="3556"/>
      <c r="C20" s="1892" t="s">
        <v>286</v>
      </c>
      <c r="D20" s="3552">
        <v>0.14499999999999999</v>
      </c>
      <c r="E20" s="3553"/>
      <c r="F20" s="3055">
        <v>0.14699999999999999</v>
      </c>
      <c r="G20" s="3056">
        <v>0.16700000000000001</v>
      </c>
      <c r="H20" s="2853">
        <v>0.216</v>
      </c>
      <c r="I20" s="2210">
        <v>0.22500000000000001</v>
      </c>
      <c r="J20" s="3057">
        <v>0.216</v>
      </c>
      <c r="K20" s="3057">
        <v>0.193</v>
      </c>
    </row>
    <row r="21" spans="1:11" ht="14.45" thickBot="1">
      <c r="C21" s="1888"/>
      <c r="D21" s="9"/>
    </row>
    <row r="22" spans="1:11" ht="15" customHeight="1" thickBot="1">
      <c r="B22" s="3568"/>
      <c r="C22" s="4439"/>
      <c r="D22" s="3569" t="s">
        <v>12</v>
      </c>
      <c r="E22" s="3570"/>
      <c r="F22" s="2232" t="s">
        <v>13</v>
      </c>
      <c r="G22" s="2234" t="s">
        <v>14</v>
      </c>
      <c r="H22" s="2263" t="s">
        <v>15</v>
      </c>
      <c r="I22" s="2263" t="s">
        <v>16</v>
      </c>
      <c r="J22" s="2264" t="s">
        <v>163</v>
      </c>
      <c r="K22" s="2264" t="s">
        <v>164</v>
      </c>
    </row>
    <row r="23" spans="1:11" ht="307.14999999999998" customHeight="1" thickBot="1">
      <c r="A23" s="209"/>
      <c r="B23" s="3567" t="s">
        <v>287</v>
      </c>
      <c r="C23" s="4440"/>
      <c r="D23" s="3571" t="s">
        <v>288</v>
      </c>
      <c r="E23" s="3572"/>
      <c r="F23" s="2265" t="s">
        <v>288</v>
      </c>
      <c r="G23" s="2266" t="s">
        <v>289</v>
      </c>
      <c r="H23" s="2267" t="s">
        <v>289</v>
      </c>
      <c r="I23" s="2267" t="s">
        <v>290</v>
      </c>
      <c r="J23" s="2268" t="s">
        <v>291</v>
      </c>
      <c r="K23" s="3107" t="s">
        <v>292</v>
      </c>
    </row>
  </sheetData>
  <mergeCells count="24">
    <mergeCell ref="B23:C23"/>
    <mergeCell ref="B22:C22"/>
    <mergeCell ref="D22:E22"/>
    <mergeCell ref="D23:E23"/>
    <mergeCell ref="D4:E4"/>
    <mergeCell ref="D11:E11"/>
    <mergeCell ref="D12:E12"/>
    <mergeCell ref="D13:E13"/>
    <mergeCell ref="D8:E8"/>
    <mergeCell ref="D17:E17"/>
    <mergeCell ref="D18:E18"/>
    <mergeCell ref="D19:E19"/>
    <mergeCell ref="A5:A20"/>
    <mergeCell ref="D20:E20"/>
    <mergeCell ref="B5:B7"/>
    <mergeCell ref="B8:B10"/>
    <mergeCell ref="B11:B13"/>
    <mergeCell ref="B17:B20"/>
    <mergeCell ref="D9:E9"/>
    <mergeCell ref="D10:E10"/>
    <mergeCell ref="D5:E5"/>
    <mergeCell ref="D6:E6"/>
    <mergeCell ref="D7:E7"/>
    <mergeCell ref="B14:B16"/>
  </mergeCells>
  <phoneticPr fontId="16" type="noConversion"/>
  <pageMargins left="0.25" right="0.25" top="0.75" bottom="0.75" header="0.3" footer="0.3"/>
  <pageSetup paperSize="8" orientation="landscape" r:id="rId1"/>
  <headerFooter>
    <oddFooter>&amp;C_x000D_&amp;1#&amp;"Calibri"&amp;10&amp;K000000 C2 - Internal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AF9C9-F13F-4AC8-AFB9-FE35A903D9A7}">
  <sheetPr>
    <tabColor theme="0"/>
  </sheetPr>
  <dimension ref="A1:E8"/>
  <sheetViews>
    <sheetView tabSelected="1" workbookViewId="0"/>
  </sheetViews>
  <sheetFormatPr defaultRowHeight="14.45"/>
  <cols>
    <col min="1" max="2" width="5" customWidth="1"/>
    <col min="3" max="3" width="51.5703125" customWidth="1"/>
  </cols>
  <sheetData>
    <row r="1" spans="1:5" ht="17.45">
      <c r="A1" s="15" t="s">
        <v>293</v>
      </c>
      <c r="B1" s="15"/>
    </row>
    <row r="2" spans="1:5" ht="17.45">
      <c r="A2" s="15" t="s">
        <v>294</v>
      </c>
      <c r="B2" s="15"/>
    </row>
    <row r="3" spans="1:5" ht="18" thickBot="1">
      <c r="A3" s="15"/>
      <c r="B3" s="15"/>
    </row>
    <row r="4" spans="1:5">
      <c r="B4" s="3583"/>
      <c r="C4" s="3584"/>
      <c r="D4" s="3591" t="s">
        <v>164</v>
      </c>
      <c r="E4" s="3584"/>
    </row>
    <row r="5" spans="1:5" ht="15" thickBot="1">
      <c r="B5" s="3585"/>
      <c r="C5" s="3586"/>
      <c r="D5" s="3233" t="s">
        <v>295</v>
      </c>
      <c r="E5" s="3234" t="s">
        <v>296</v>
      </c>
    </row>
    <row r="6" spans="1:5" ht="30" customHeight="1" thickBot="1">
      <c r="B6" s="3587" t="s">
        <v>297</v>
      </c>
      <c r="C6" s="3588"/>
      <c r="D6" s="3235">
        <v>11</v>
      </c>
      <c r="E6" s="3236">
        <v>1</v>
      </c>
    </row>
    <row r="7" spans="1:5" ht="34.5" customHeight="1" thickBot="1">
      <c r="B7" s="3589" t="s">
        <v>298</v>
      </c>
      <c r="C7" s="3590"/>
      <c r="D7" s="3237">
        <v>1</v>
      </c>
      <c r="E7" s="3238">
        <v>6.0000000000000001E-3</v>
      </c>
    </row>
    <row r="8" spans="1:5">
      <c r="D8" s="59"/>
    </row>
  </sheetData>
  <mergeCells count="4">
    <mergeCell ref="B4:C5"/>
    <mergeCell ref="B6:C6"/>
    <mergeCell ref="B7:C7"/>
    <mergeCell ref="D4:E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F75EC-1A75-43D3-951C-986A349B6B1F}">
  <sheetPr codeName="Sheet14">
    <tabColor theme="0"/>
  </sheetPr>
  <dimension ref="A1:K37"/>
  <sheetViews>
    <sheetView showGridLines="0" zoomScale="105" zoomScaleNormal="100" workbookViewId="0">
      <pane xSplit="6" topLeftCell="K1" activePane="topRight" state="frozen"/>
      <selection pane="topRight"/>
    </sheetView>
  </sheetViews>
  <sheetFormatPr defaultColWidth="9" defaultRowHeight="13.9"/>
  <cols>
    <col min="1" max="1" width="10.85546875" style="8" customWidth="1"/>
    <col min="2" max="2" width="9" style="8"/>
    <col min="3" max="3" width="22.28515625" style="8" customWidth="1"/>
    <col min="4" max="4" width="76" style="8" customWidth="1"/>
    <col min="5" max="5" width="16.85546875" style="8" hidden="1" customWidth="1"/>
    <col min="6" max="6" width="16" style="8" hidden="1" customWidth="1"/>
    <col min="7" max="7" width="70.7109375" style="8" customWidth="1"/>
    <col min="8" max="8" width="77.140625" style="8" customWidth="1"/>
    <col min="9" max="11" width="70.7109375" style="8" customWidth="1"/>
    <col min="12" max="16384" width="9" style="8"/>
  </cols>
  <sheetData>
    <row r="1" spans="1:11" ht="17.45">
      <c r="A1" s="10" t="s">
        <v>299</v>
      </c>
    </row>
    <row r="2" spans="1:11" ht="17.45">
      <c r="A2" s="10" t="s">
        <v>300</v>
      </c>
    </row>
    <row r="3" spans="1:11" ht="18" thickBot="1">
      <c r="A3" s="10"/>
    </row>
    <row r="4" spans="1:11">
      <c r="A4" s="6"/>
      <c r="B4" s="6"/>
      <c r="C4" s="6"/>
      <c r="D4" s="6"/>
      <c r="E4" s="2269" t="s">
        <v>301</v>
      </c>
      <c r="F4" s="2269" t="s">
        <v>302</v>
      </c>
      <c r="G4" s="3608" t="s">
        <v>303</v>
      </c>
      <c r="H4" s="3608" t="s">
        <v>15</v>
      </c>
      <c r="I4" s="3608" t="s">
        <v>16</v>
      </c>
      <c r="J4" s="3608" t="s">
        <v>163</v>
      </c>
      <c r="K4" s="3608" t="s">
        <v>164</v>
      </c>
    </row>
    <row r="5" spans="1:11" ht="14.65" customHeight="1" thickBot="1">
      <c r="A5" s="2270"/>
      <c r="B5" s="720"/>
      <c r="C5" s="6"/>
      <c r="D5" s="6"/>
      <c r="E5" s="2271"/>
      <c r="F5" s="2271"/>
      <c r="G5" s="3609"/>
      <c r="H5" s="3609"/>
      <c r="I5" s="3609"/>
      <c r="J5" s="3609"/>
      <c r="K5" s="3609"/>
    </row>
    <row r="6" spans="1:11" ht="26.45">
      <c r="A6" s="3592"/>
      <c r="B6" s="3593" t="s">
        <v>304</v>
      </c>
      <c r="C6" s="3596" t="s">
        <v>305</v>
      </c>
      <c r="D6" s="2272" t="s">
        <v>306</v>
      </c>
      <c r="E6" s="2273"/>
      <c r="F6" s="2274"/>
      <c r="G6" s="2275"/>
      <c r="H6" s="2275"/>
      <c r="I6" s="2275"/>
      <c r="J6" s="2275"/>
      <c r="K6" s="2275"/>
    </row>
    <row r="7" spans="1:11" ht="26.45">
      <c r="A7" s="3592"/>
      <c r="B7" s="3594"/>
      <c r="C7" s="3597"/>
      <c r="D7" s="2301" t="s">
        <v>307</v>
      </c>
      <c r="E7" s="2276" t="s">
        <v>252</v>
      </c>
      <c r="F7" s="2277" t="s">
        <v>252</v>
      </c>
      <c r="G7" s="2277" t="s">
        <v>308</v>
      </c>
      <c r="H7" s="2277" t="s">
        <v>308</v>
      </c>
      <c r="I7" s="2277" t="s">
        <v>309</v>
      </c>
      <c r="J7" s="2278" t="s">
        <v>309</v>
      </c>
      <c r="K7" s="2278" t="s">
        <v>309</v>
      </c>
    </row>
    <row r="8" spans="1:11" ht="26.45">
      <c r="A8" s="3592"/>
      <c r="B8" s="3594"/>
      <c r="C8" s="3597"/>
      <c r="D8" s="2301" t="s">
        <v>310</v>
      </c>
      <c r="E8" s="2279" t="s">
        <v>252</v>
      </c>
      <c r="F8" s="2280" t="s">
        <v>252</v>
      </c>
      <c r="G8" s="2280" t="s">
        <v>311</v>
      </c>
      <c r="H8" s="2280" t="s">
        <v>311</v>
      </c>
      <c r="I8" s="2280" t="s">
        <v>311</v>
      </c>
      <c r="J8" s="2281" t="s">
        <v>311</v>
      </c>
      <c r="K8" s="2281" t="s">
        <v>312</v>
      </c>
    </row>
    <row r="9" spans="1:11">
      <c r="A9" s="3592"/>
      <c r="B9" s="3594"/>
      <c r="C9" s="3597"/>
      <c r="D9" s="2301" t="s">
        <v>313</v>
      </c>
      <c r="E9" s="2279" t="s">
        <v>252</v>
      </c>
      <c r="F9" s="2280" t="s">
        <v>252</v>
      </c>
      <c r="G9" s="2280" t="s">
        <v>314</v>
      </c>
      <c r="H9" s="2280" t="s">
        <v>314</v>
      </c>
      <c r="I9" s="2280" t="s">
        <v>314</v>
      </c>
      <c r="J9" s="2281" t="s">
        <v>315</v>
      </c>
      <c r="K9" s="2281" t="s">
        <v>315</v>
      </c>
    </row>
    <row r="10" spans="1:11" ht="27" thickBot="1">
      <c r="A10" s="3592"/>
      <c r="B10" s="3595"/>
      <c r="C10" s="3598"/>
      <c r="D10" s="2302" t="s">
        <v>316</v>
      </c>
      <c r="E10" s="2279" t="s">
        <v>252</v>
      </c>
      <c r="F10" s="2280" t="s">
        <v>252</v>
      </c>
      <c r="G10" s="2282" t="s">
        <v>317</v>
      </c>
      <c r="H10" s="2282" t="s">
        <v>317</v>
      </c>
      <c r="I10" s="2283" t="s">
        <v>317</v>
      </c>
      <c r="J10" s="2284" t="s">
        <v>318</v>
      </c>
      <c r="K10" s="2281" t="s">
        <v>318</v>
      </c>
    </row>
    <row r="11" spans="1:11" ht="26.45">
      <c r="A11" s="3592"/>
      <c r="B11" s="3599" t="s">
        <v>319</v>
      </c>
      <c r="C11" s="3601" t="s">
        <v>320</v>
      </c>
      <c r="D11" s="2285" t="s">
        <v>321</v>
      </c>
      <c r="E11" s="2274"/>
      <c r="F11" s="2274"/>
      <c r="G11" s="2275"/>
      <c r="H11" s="2275"/>
      <c r="I11" s="2275"/>
      <c r="J11" s="2275"/>
      <c r="K11" s="2275"/>
    </row>
    <row r="12" spans="1:11" ht="26.45">
      <c r="A12" s="3592"/>
      <c r="B12" s="3594"/>
      <c r="C12" s="3597"/>
      <c r="D12" s="2303" t="s">
        <v>322</v>
      </c>
      <c r="E12" s="2280" t="s">
        <v>252</v>
      </c>
      <c r="F12" s="2280" t="s">
        <v>252</v>
      </c>
      <c r="G12" s="2280" t="s">
        <v>323</v>
      </c>
      <c r="H12" s="2280" t="s">
        <v>323</v>
      </c>
      <c r="I12" s="2280" t="s">
        <v>323</v>
      </c>
      <c r="J12" s="2280" t="s">
        <v>323</v>
      </c>
      <c r="K12" s="2281" t="s">
        <v>324</v>
      </c>
    </row>
    <row r="13" spans="1:11" ht="26.45">
      <c r="A13" s="3592"/>
      <c r="B13" s="3594"/>
      <c r="C13" s="3597"/>
      <c r="D13" s="2303" t="s">
        <v>325</v>
      </c>
      <c r="E13" s="2280" t="s">
        <v>252</v>
      </c>
      <c r="F13" s="2280" t="s">
        <v>252</v>
      </c>
      <c r="G13" s="2280" t="s">
        <v>326</v>
      </c>
      <c r="H13" s="2280" t="s">
        <v>326</v>
      </c>
      <c r="I13" s="2280" t="s">
        <v>326</v>
      </c>
      <c r="J13" s="2280" t="s">
        <v>326</v>
      </c>
      <c r="K13" s="2281" t="s">
        <v>326</v>
      </c>
    </row>
    <row r="14" spans="1:11" ht="26.45">
      <c r="A14" s="3592"/>
      <c r="B14" s="3594"/>
      <c r="C14" s="3597"/>
      <c r="D14" s="2303" t="s">
        <v>327</v>
      </c>
      <c r="E14" s="2280" t="s">
        <v>252</v>
      </c>
      <c r="F14" s="2280" t="s">
        <v>252</v>
      </c>
      <c r="G14" s="2280" t="s">
        <v>326</v>
      </c>
      <c r="H14" s="2280" t="s">
        <v>326</v>
      </c>
      <c r="I14" s="2280" t="s">
        <v>326</v>
      </c>
      <c r="J14" s="2280" t="s">
        <v>326</v>
      </c>
      <c r="K14" s="2281" t="s">
        <v>326</v>
      </c>
    </row>
    <row r="15" spans="1:11" ht="39.6">
      <c r="A15" s="3592"/>
      <c r="B15" s="3594"/>
      <c r="C15" s="3597"/>
      <c r="D15" s="2303" t="s">
        <v>328</v>
      </c>
      <c r="E15" s="2280" t="s">
        <v>252</v>
      </c>
      <c r="F15" s="2280" t="s">
        <v>252</v>
      </c>
      <c r="G15" s="2280" t="s">
        <v>329</v>
      </c>
      <c r="H15" s="2280" t="s">
        <v>329</v>
      </c>
      <c r="I15" s="2280" t="s">
        <v>329</v>
      </c>
      <c r="J15" s="2280" t="s">
        <v>329</v>
      </c>
      <c r="K15" s="2281" t="s">
        <v>329</v>
      </c>
    </row>
    <row r="16" spans="1:11" ht="26.45">
      <c r="A16" s="3592"/>
      <c r="B16" s="3594"/>
      <c r="C16" s="3597"/>
      <c r="D16" s="2286" t="s">
        <v>330</v>
      </c>
      <c r="E16" s="2280" t="s">
        <v>252</v>
      </c>
      <c r="F16" s="2280" t="s">
        <v>252</v>
      </c>
      <c r="G16" s="2280" t="s">
        <v>331</v>
      </c>
      <c r="H16" s="2280" t="s">
        <v>331</v>
      </c>
      <c r="I16" s="2280" t="s">
        <v>331</v>
      </c>
      <c r="J16" s="2280" t="s">
        <v>331</v>
      </c>
      <c r="K16" s="2281" t="s">
        <v>331</v>
      </c>
    </row>
    <row r="17" spans="1:11" ht="60" customHeight="1" thickBot="1">
      <c r="A17" s="3592"/>
      <c r="B17" s="3600"/>
      <c r="C17" s="3602"/>
      <c r="D17" s="2287" t="s">
        <v>332</v>
      </c>
      <c r="E17" s="2280" t="s">
        <v>252</v>
      </c>
      <c r="F17" s="2280" t="s">
        <v>252</v>
      </c>
      <c r="G17" s="2282" t="s">
        <v>333</v>
      </c>
      <c r="H17" s="2282" t="s">
        <v>333</v>
      </c>
      <c r="I17" s="2280" t="s">
        <v>334</v>
      </c>
      <c r="J17" s="2280" t="s">
        <v>334</v>
      </c>
      <c r="K17" s="2281" t="s">
        <v>334</v>
      </c>
    </row>
    <row r="18" spans="1:11" ht="39.6">
      <c r="A18" s="3592"/>
      <c r="B18" s="3603" t="s">
        <v>335</v>
      </c>
      <c r="C18" s="3604" t="s">
        <v>336</v>
      </c>
      <c r="D18" s="2288" t="s">
        <v>337</v>
      </c>
      <c r="E18" s="2274"/>
      <c r="F18" s="2274"/>
      <c r="G18" s="2275"/>
      <c r="H18" s="2275"/>
      <c r="I18" s="2275"/>
      <c r="J18" s="2275"/>
      <c r="K18" s="2275"/>
    </row>
    <row r="19" spans="1:11">
      <c r="A19" s="3592"/>
      <c r="B19" s="3594"/>
      <c r="C19" s="3597"/>
      <c r="D19" s="2304" t="s">
        <v>338</v>
      </c>
      <c r="E19" s="2280" t="s">
        <v>252</v>
      </c>
      <c r="F19" s="2280" t="s">
        <v>252</v>
      </c>
      <c r="G19" s="2280" t="s">
        <v>339</v>
      </c>
      <c r="H19" s="2280" t="s">
        <v>339</v>
      </c>
      <c r="I19" s="2280" t="s">
        <v>339</v>
      </c>
      <c r="J19" s="2280" t="s">
        <v>339</v>
      </c>
      <c r="K19" s="2281" t="s">
        <v>339</v>
      </c>
    </row>
    <row r="20" spans="1:11" ht="26.45">
      <c r="A20" s="3592"/>
      <c r="B20" s="3594"/>
      <c r="C20" s="3597"/>
      <c r="D20" s="2304" t="s">
        <v>340</v>
      </c>
      <c r="E20" s="2280" t="s">
        <v>252</v>
      </c>
      <c r="F20" s="2280" t="s">
        <v>252</v>
      </c>
      <c r="G20" s="2280" t="s">
        <v>341</v>
      </c>
      <c r="H20" s="2280" t="s">
        <v>341</v>
      </c>
      <c r="I20" s="2280" t="s">
        <v>341</v>
      </c>
      <c r="J20" s="2280" t="s">
        <v>341</v>
      </c>
      <c r="K20" s="2281" t="s">
        <v>341</v>
      </c>
    </row>
    <row r="21" spans="1:11" ht="26.45">
      <c r="A21" s="3592"/>
      <c r="B21" s="3595"/>
      <c r="C21" s="3598"/>
      <c r="D21" s="2305" t="s">
        <v>342</v>
      </c>
      <c r="E21" s="2280" t="s">
        <v>252</v>
      </c>
      <c r="F21" s="2280" t="s">
        <v>252</v>
      </c>
      <c r="G21" s="2282" t="s">
        <v>323</v>
      </c>
      <c r="H21" s="2283" t="s">
        <v>323</v>
      </c>
      <c r="I21" s="2283" t="s">
        <v>323</v>
      </c>
      <c r="J21" s="2280" t="s">
        <v>323</v>
      </c>
      <c r="K21" s="2281" t="s">
        <v>323</v>
      </c>
    </row>
    <row r="22" spans="1:11" ht="53.45" thickBot="1">
      <c r="A22" s="3592"/>
      <c r="B22" s="3605" t="s">
        <v>343</v>
      </c>
      <c r="C22" s="3601" t="s">
        <v>344</v>
      </c>
      <c r="D22" s="2289" t="s">
        <v>345</v>
      </c>
      <c r="E22" s="2290" t="s">
        <v>252</v>
      </c>
      <c r="F22" s="2290" t="s">
        <v>252</v>
      </c>
      <c r="G22" s="2291" t="s">
        <v>346</v>
      </c>
      <c r="H22" s="2292" t="s">
        <v>346</v>
      </c>
      <c r="I22" s="2292" t="s">
        <v>346</v>
      </c>
      <c r="J22" s="2290" t="s">
        <v>346</v>
      </c>
      <c r="K22" s="2934" t="s">
        <v>347</v>
      </c>
    </row>
    <row r="23" spans="1:11">
      <c r="A23" s="3592"/>
      <c r="B23" s="3606"/>
      <c r="C23" s="3606"/>
      <c r="D23" s="2293" t="s">
        <v>348</v>
      </c>
      <c r="E23" s="2274"/>
      <c r="F23" s="2274"/>
      <c r="G23" s="2275"/>
      <c r="H23" s="2275"/>
      <c r="I23" s="2275"/>
      <c r="J23" s="2275"/>
      <c r="K23" s="2275"/>
    </row>
    <row r="24" spans="1:11" ht="21.4" customHeight="1">
      <c r="A24" s="3592"/>
      <c r="B24" s="3606"/>
      <c r="C24" s="3606"/>
      <c r="D24" s="2303" t="s">
        <v>349</v>
      </c>
      <c r="E24" s="2290" t="s">
        <v>252</v>
      </c>
      <c r="F24" s="2290" t="s">
        <v>252</v>
      </c>
      <c r="G24" s="2290" t="s">
        <v>350</v>
      </c>
      <c r="H24" s="2290" t="s">
        <v>350</v>
      </c>
      <c r="I24" s="2290" t="s">
        <v>350</v>
      </c>
      <c r="J24" s="2290" t="s">
        <v>350</v>
      </c>
      <c r="K24" s="2934" t="s">
        <v>350</v>
      </c>
    </row>
    <row r="25" spans="1:11">
      <c r="A25" s="3592"/>
      <c r="B25" s="3606"/>
      <c r="C25" s="3606"/>
      <c r="D25" s="2303" t="s">
        <v>351</v>
      </c>
      <c r="E25" s="2290" t="s">
        <v>252</v>
      </c>
      <c r="F25" s="2290" t="s">
        <v>252</v>
      </c>
      <c r="G25" s="2290" t="s">
        <v>352</v>
      </c>
      <c r="H25" s="2290" t="s">
        <v>352</v>
      </c>
      <c r="I25" s="2290" t="s">
        <v>352</v>
      </c>
      <c r="J25" s="2290" t="s">
        <v>352</v>
      </c>
      <c r="K25" s="2934" t="s">
        <v>352</v>
      </c>
    </row>
    <row r="26" spans="1:11" ht="18" customHeight="1">
      <c r="A26" s="3592"/>
      <c r="B26" s="3606"/>
      <c r="C26" s="3606"/>
      <c r="D26" s="2303" t="s">
        <v>353</v>
      </c>
      <c r="E26" s="2280" t="s">
        <v>252</v>
      </c>
      <c r="F26" s="2280" t="s">
        <v>252</v>
      </c>
      <c r="G26" s="2280" t="s">
        <v>354</v>
      </c>
      <c r="H26" s="2280" t="s">
        <v>355</v>
      </c>
      <c r="I26" s="2294">
        <v>5600</v>
      </c>
      <c r="J26" s="2294">
        <v>6543</v>
      </c>
      <c r="K26" s="2294">
        <v>7383</v>
      </c>
    </row>
    <row r="27" spans="1:11">
      <c r="A27" s="3592"/>
      <c r="B27" s="3606"/>
      <c r="C27" s="3606"/>
      <c r="D27" s="2303" t="s">
        <v>356</v>
      </c>
      <c r="E27" s="2295" t="s">
        <v>252</v>
      </c>
      <c r="F27" s="2295" t="s">
        <v>252</v>
      </c>
      <c r="G27" s="2295" t="s">
        <v>357</v>
      </c>
      <c r="H27" s="2295">
        <v>98300000</v>
      </c>
      <c r="I27" s="2296" t="s">
        <v>358</v>
      </c>
      <c r="J27" s="2296" t="s">
        <v>359</v>
      </c>
      <c r="K27" s="2935" t="s">
        <v>360</v>
      </c>
    </row>
    <row r="28" spans="1:11" ht="26.45">
      <c r="A28" s="3592"/>
      <c r="B28" s="3606"/>
      <c r="C28" s="3606"/>
      <c r="D28" s="2303" t="s">
        <v>361</v>
      </c>
      <c r="E28" s="2280" t="s">
        <v>252</v>
      </c>
      <c r="F28" s="2280" t="s">
        <v>252</v>
      </c>
      <c r="G28" s="2280" t="s">
        <v>362</v>
      </c>
      <c r="H28" s="2280" t="s">
        <v>362</v>
      </c>
      <c r="I28" s="2280" t="s">
        <v>362</v>
      </c>
      <c r="J28" s="2280" t="s">
        <v>362</v>
      </c>
      <c r="K28" s="2281" t="s">
        <v>362</v>
      </c>
    </row>
    <row r="29" spans="1:11">
      <c r="A29" s="3592"/>
      <c r="B29" s="3606"/>
      <c r="C29" s="3606"/>
      <c r="D29" s="2303" t="s">
        <v>363</v>
      </c>
      <c r="E29" s="2297" t="s">
        <v>252</v>
      </c>
      <c r="F29" s="2297" t="s">
        <v>252</v>
      </c>
      <c r="G29" s="2297" t="s">
        <v>364</v>
      </c>
      <c r="H29" s="2297" t="s">
        <v>365</v>
      </c>
      <c r="I29" s="2296" t="s">
        <v>366</v>
      </c>
      <c r="J29" s="2296" t="s">
        <v>367</v>
      </c>
      <c r="K29" s="2935" t="s">
        <v>368</v>
      </c>
    </row>
    <row r="30" spans="1:11">
      <c r="A30" s="3592"/>
      <c r="B30" s="3606"/>
      <c r="C30" s="3606"/>
      <c r="D30" s="2303" t="s">
        <v>369</v>
      </c>
      <c r="E30" s="2297" t="s">
        <v>252</v>
      </c>
      <c r="F30" s="2297" t="s">
        <v>252</v>
      </c>
      <c r="G30" s="2297" t="s">
        <v>370</v>
      </c>
      <c r="H30" s="2297" t="s">
        <v>371</v>
      </c>
      <c r="I30" s="2298" t="s">
        <v>372</v>
      </c>
      <c r="J30" s="2298" t="s">
        <v>373</v>
      </c>
      <c r="K30" s="2936" t="s">
        <v>374</v>
      </c>
    </row>
    <row r="31" spans="1:11">
      <c r="A31" s="3592"/>
      <c r="B31" s="3606"/>
      <c r="C31" s="3606"/>
      <c r="D31" s="2303" t="s">
        <v>375</v>
      </c>
      <c r="E31" s="2295" t="s">
        <v>252</v>
      </c>
      <c r="F31" s="2295" t="s">
        <v>252</v>
      </c>
      <c r="G31" s="2295">
        <v>645950</v>
      </c>
      <c r="H31" s="2295" t="s">
        <v>376</v>
      </c>
      <c r="I31" s="2298" t="s">
        <v>377</v>
      </c>
      <c r="J31" s="2298" t="s">
        <v>378</v>
      </c>
      <c r="K31" s="2936" t="s">
        <v>379</v>
      </c>
    </row>
    <row r="32" spans="1:11">
      <c r="A32" s="3592"/>
      <c r="B32" s="3606"/>
      <c r="C32" s="3606"/>
      <c r="D32" s="2303" t="s">
        <v>380</v>
      </c>
      <c r="E32" s="2295" t="s">
        <v>252</v>
      </c>
      <c r="F32" s="2295" t="s">
        <v>252</v>
      </c>
      <c r="G32" s="2295" t="s">
        <v>381</v>
      </c>
      <c r="H32" s="2295">
        <v>31000000</v>
      </c>
      <c r="I32" s="2296" t="s">
        <v>382</v>
      </c>
      <c r="J32" s="2298" t="s">
        <v>383</v>
      </c>
      <c r="K32" s="2936" t="s">
        <v>384</v>
      </c>
    </row>
    <row r="33" spans="1:11" ht="26.45">
      <c r="A33" s="3592"/>
      <c r="B33" s="3606"/>
      <c r="C33" s="3606"/>
      <c r="D33" s="2303" t="s">
        <v>385</v>
      </c>
      <c r="E33" s="2280" t="s">
        <v>252</v>
      </c>
      <c r="F33" s="2280" t="s">
        <v>252</v>
      </c>
      <c r="G33" s="2280" t="s">
        <v>386</v>
      </c>
      <c r="H33" s="2280" t="s">
        <v>386</v>
      </c>
      <c r="I33" s="2296" t="s">
        <v>387</v>
      </c>
      <c r="J33" s="2296" t="s">
        <v>387</v>
      </c>
      <c r="K33" s="3105" t="s">
        <v>388</v>
      </c>
    </row>
    <row r="34" spans="1:11" ht="14.45" thickBot="1">
      <c r="A34" s="3592"/>
      <c r="B34" s="3607"/>
      <c r="C34" s="3607"/>
      <c r="D34" s="2299" t="s">
        <v>389</v>
      </c>
      <c r="E34" s="2300" t="s">
        <v>252</v>
      </c>
      <c r="F34" s="2300" t="s">
        <v>252</v>
      </c>
      <c r="G34" s="2300" t="s">
        <v>390</v>
      </c>
      <c r="H34" s="2300" t="s">
        <v>391</v>
      </c>
      <c r="I34" s="2300" t="s">
        <v>392</v>
      </c>
      <c r="J34" s="2300" t="s">
        <v>393</v>
      </c>
      <c r="K34" s="2937" t="s">
        <v>394</v>
      </c>
    </row>
    <row r="35" spans="1:11">
      <c r="A35" s="6"/>
      <c r="B35" s="6"/>
      <c r="C35" s="6"/>
      <c r="D35" s="6"/>
      <c r="E35" s="6"/>
      <c r="F35" s="6"/>
      <c r="G35" s="6"/>
      <c r="H35" s="6"/>
      <c r="I35" s="6"/>
      <c r="J35" s="6"/>
      <c r="K35" s="6"/>
    </row>
    <row r="36" spans="1:11">
      <c r="A36" s="6"/>
      <c r="B36" s="6"/>
      <c r="C36" s="6"/>
      <c r="D36" s="6"/>
      <c r="E36" s="6"/>
      <c r="F36" s="6"/>
      <c r="G36" s="6"/>
      <c r="H36" s="6"/>
      <c r="I36" s="6"/>
      <c r="J36" s="6"/>
      <c r="K36" s="6"/>
    </row>
    <row r="37" spans="1:11">
      <c r="A37" s="6"/>
      <c r="B37" s="6"/>
      <c r="C37" s="6"/>
      <c r="D37" s="6"/>
      <c r="E37" s="6"/>
      <c r="F37" s="6"/>
      <c r="G37" s="6"/>
      <c r="H37" s="6"/>
      <c r="I37" s="6"/>
      <c r="J37" s="6"/>
      <c r="K37" s="6"/>
    </row>
  </sheetData>
  <mergeCells count="14">
    <mergeCell ref="K4:K5"/>
    <mergeCell ref="G4:G5"/>
    <mergeCell ref="H4:H5"/>
    <mergeCell ref="I4:I5"/>
    <mergeCell ref="J4:J5"/>
    <mergeCell ref="A6:A34"/>
    <mergeCell ref="B6:B10"/>
    <mergeCell ref="C6:C10"/>
    <mergeCell ref="B11:B17"/>
    <mergeCell ref="C11:C17"/>
    <mergeCell ref="B18:B21"/>
    <mergeCell ref="C18:C21"/>
    <mergeCell ref="B22:B34"/>
    <mergeCell ref="C22:C34"/>
  </mergeCells>
  <phoneticPr fontId="16" type="noConversion"/>
  <hyperlinks>
    <hyperlink ref="G7" r:id="rId1" display="Yes, here" xr:uid="{34112048-E4CF-43B8-A26D-143100283431}"/>
    <hyperlink ref="H7" r:id="rId2" display="Yes, here" xr:uid="{3F1ABB0C-BDBF-4025-B5F8-735C861972DD}"/>
    <hyperlink ref="I7" r:id="rId3" xr:uid="{C661E2FE-09F7-49BD-92BD-465A0E260D68}"/>
    <hyperlink ref="J7" r:id="rId4" xr:uid="{EF53CBFD-2CE2-410C-A96A-0B9636CFE07F}"/>
    <hyperlink ref="K7" r:id="rId5" xr:uid="{EE2227CB-E9BE-49D5-800E-C5B5E28FE056}"/>
  </hyperlinks>
  <pageMargins left="0.7" right="0.7" top="0.75" bottom="0.75" header="0.3" footer="0.3"/>
  <headerFooter>
    <oddFooter>&amp;C_x000D_&amp;1#&amp;"Calibri"&amp;10&amp;K000000 C2 - Internal</oddFooter>
  </headerFooter>
  <legacyDrawing r:id="rId6"/>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3897-E4E8-4453-98C3-69A019C38DB7}">
  <sheetPr codeName="Sheet20">
    <tabColor theme="0"/>
    <pageSetUpPr fitToPage="1"/>
  </sheetPr>
  <dimension ref="B1:Y48"/>
  <sheetViews>
    <sheetView showGridLines="0" zoomScaleNormal="100" workbookViewId="0">
      <pane xSplit="12" topLeftCell="U1" activePane="topRight" state="frozen"/>
      <selection pane="topRight"/>
    </sheetView>
  </sheetViews>
  <sheetFormatPr defaultColWidth="9.140625" defaultRowHeight="13.9"/>
  <cols>
    <col min="1" max="1" width="3.28515625" style="8" customWidth="1"/>
    <col min="2" max="2" width="14.28515625" style="8" customWidth="1"/>
    <col min="3" max="3" width="97" style="8" customWidth="1"/>
    <col min="4" max="9" width="22.7109375" style="8" hidden="1" customWidth="1"/>
    <col min="10" max="11" width="32.7109375" style="8" hidden="1" customWidth="1"/>
    <col min="12" max="12" width="28.5703125" style="8" hidden="1" customWidth="1"/>
    <col min="13" max="24" width="32.7109375" style="8" customWidth="1"/>
    <col min="25" max="16384" width="9.140625" style="8"/>
  </cols>
  <sheetData>
    <row r="1" spans="2:25" ht="18" customHeight="1">
      <c r="B1" s="3659" t="s">
        <v>395</v>
      </c>
      <c r="C1" s="3659"/>
      <c r="D1" s="150"/>
      <c r="E1" s="150"/>
    </row>
    <row r="2" spans="2:25" ht="17.45">
      <c r="B2" s="722" t="s">
        <v>396</v>
      </c>
      <c r="C2" s="150"/>
      <c r="D2" s="150"/>
      <c r="E2" s="150"/>
    </row>
    <row r="3" spans="2:25" s="1569" customFormat="1" ht="15" customHeight="1" thickBot="1">
      <c r="D3" s="1570" t="s">
        <v>397</v>
      </c>
      <c r="E3" s="1571"/>
      <c r="F3" s="1571"/>
      <c r="G3" s="1572"/>
      <c r="H3" s="1573"/>
      <c r="I3" s="1573"/>
      <c r="J3" s="1571"/>
      <c r="K3" s="1571"/>
      <c r="L3" s="1571"/>
      <c r="M3" s="1573"/>
      <c r="N3" s="1573"/>
      <c r="O3" s="1573"/>
      <c r="P3" s="1573"/>
      <c r="Q3" s="1573"/>
      <c r="R3" s="1573"/>
      <c r="S3" s="1573"/>
      <c r="T3" s="1573"/>
      <c r="U3" s="1573"/>
      <c r="V3" s="1573"/>
      <c r="W3" s="1573"/>
      <c r="X3" s="1573"/>
    </row>
    <row r="4" spans="2:25" ht="14.45" thickBot="1">
      <c r="B4" s="2330"/>
      <c r="C4" s="2331"/>
      <c r="D4" s="3662" t="s">
        <v>12</v>
      </c>
      <c r="E4" s="4441"/>
      <c r="F4" s="4442"/>
      <c r="G4" s="3660" t="s">
        <v>13</v>
      </c>
      <c r="H4" s="4443"/>
      <c r="I4" s="4444"/>
      <c r="J4" s="3643" t="s">
        <v>14</v>
      </c>
      <c r="K4" s="4443"/>
      <c r="L4" s="4444"/>
      <c r="M4" s="3655" t="s">
        <v>15</v>
      </c>
      <c r="N4" s="4445"/>
      <c r="O4" s="4446"/>
      <c r="P4" s="3617" t="s">
        <v>16</v>
      </c>
      <c r="Q4" s="4447"/>
      <c r="R4" s="4448"/>
      <c r="S4" s="3617" t="s">
        <v>163</v>
      </c>
      <c r="T4" s="4447"/>
      <c r="U4" s="4448"/>
      <c r="V4" s="3617" t="s">
        <v>164</v>
      </c>
      <c r="W4" s="4447"/>
      <c r="X4" s="4448"/>
      <c r="Y4" s="6"/>
    </row>
    <row r="5" spans="2:25" ht="14.25" customHeight="1">
      <c r="B5" s="2328" t="s">
        <v>172</v>
      </c>
      <c r="C5" s="2659" t="s">
        <v>398</v>
      </c>
      <c r="D5" s="3636">
        <v>445</v>
      </c>
      <c r="E5" s="4441"/>
      <c r="F5" s="4442"/>
      <c r="G5" s="3661">
        <v>445</v>
      </c>
      <c r="H5" s="4449"/>
      <c r="I5" s="4450"/>
      <c r="J5" s="3642">
        <v>445</v>
      </c>
      <c r="K5" s="4449"/>
      <c r="L5" s="4450"/>
      <c r="M5" s="3646">
        <v>445</v>
      </c>
      <c r="N5" s="3647"/>
      <c r="O5" s="3648"/>
      <c r="P5" s="3656">
        <v>445</v>
      </c>
      <c r="Q5" s="3657"/>
      <c r="R5" s="3658"/>
      <c r="S5" s="3618">
        <v>445</v>
      </c>
      <c r="T5" s="4451"/>
      <c r="U5" s="4452"/>
      <c r="V5" s="3618">
        <v>445</v>
      </c>
      <c r="W5" s="4451"/>
      <c r="X5" s="4452"/>
      <c r="Y5" s="6"/>
    </row>
    <row r="6" spans="2:25">
      <c r="B6" s="2426" t="s">
        <v>165</v>
      </c>
      <c r="C6" s="2332" t="s">
        <v>398</v>
      </c>
      <c r="D6" s="3636">
        <v>800</v>
      </c>
      <c r="E6" s="4441"/>
      <c r="F6" s="4442"/>
      <c r="G6" s="3641">
        <v>800</v>
      </c>
      <c r="H6" s="4441"/>
      <c r="I6" s="4453"/>
      <c r="J6" s="3636">
        <v>800</v>
      </c>
      <c r="K6" s="4441"/>
      <c r="L6" s="4453"/>
      <c r="M6" s="3649">
        <v>800</v>
      </c>
      <c r="N6" s="3650"/>
      <c r="O6" s="3651"/>
      <c r="P6" s="3614">
        <v>800</v>
      </c>
      <c r="Q6" s="4454"/>
      <c r="R6" s="4455"/>
      <c r="S6" s="3619">
        <v>800</v>
      </c>
      <c r="T6" s="4456"/>
      <c r="U6" s="4457"/>
      <c r="V6" s="3619">
        <v>800</v>
      </c>
      <c r="W6" s="4456"/>
      <c r="X6" s="4457"/>
      <c r="Y6" s="6"/>
    </row>
    <row r="7" spans="2:25">
      <c r="B7" s="2425" t="s">
        <v>399</v>
      </c>
      <c r="C7" s="2332" t="s">
        <v>398</v>
      </c>
      <c r="D7" s="3637">
        <v>957</v>
      </c>
      <c r="E7" s="4441"/>
      <c r="F7" s="4442"/>
      <c r="G7" s="3623">
        <v>957</v>
      </c>
      <c r="H7" s="4441"/>
      <c r="I7" s="4453"/>
      <c r="J7" s="3637">
        <v>957</v>
      </c>
      <c r="K7" s="4441"/>
      <c r="L7" s="4453"/>
      <c r="M7" s="3652">
        <v>957</v>
      </c>
      <c r="N7" s="3653"/>
      <c r="O7" s="3654"/>
      <c r="P7" s="3620">
        <v>957</v>
      </c>
      <c r="Q7" s="4458"/>
      <c r="R7" s="4459"/>
      <c r="S7" s="3620">
        <v>957</v>
      </c>
      <c r="T7" s="4458"/>
      <c r="U7" s="4459"/>
      <c r="V7" s="3620">
        <v>957</v>
      </c>
      <c r="W7" s="4458"/>
      <c r="X7" s="4459"/>
      <c r="Y7" s="6"/>
    </row>
    <row r="8" spans="2:25" ht="14.45" thickBot="1">
      <c r="B8" s="2427" t="s">
        <v>400</v>
      </c>
      <c r="C8" s="2332" t="s">
        <v>398</v>
      </c>
      <c r="D8" s="3638">
        <f>SUM(D5,D6,D7)</f>
        <v>2202</v>
      </c>
      <c r="E8" s="4441"/>
      <c r="F8" s="4442"/>
      <c r="G8" s="3624">
        <f>SUM(G5:G7)</f>
        <v>2202</v>
      </c>
      <c r="H8" s="4460"/>
      <c r="I8" s="4461"/>
      <c r="J8" s="3645">
        <f>SUM(J5:J7)</f>
        <v>2202</v>
      </c>
      <c r="K8" s="4460"/>
      <c r="L8" s="4462"/>
      <c r="M8" s="3622">
        <f>SUM(M5:M7)</f>
        <v>2202</v>
      </c>
      <c r="N8" s="4463"/>
      <c r="O8" s="4464"/>
      <c r="P8" s="3621">
        <f>SUM(P5:P7)</f>
        <v>2202</v>
      </c>
      <c r="Q8" s="4465"/>
      <c r="R8" s="4466"/>
      <c r="S8" s="3621">
        <f>SUM(S5:S7)</f>
        <v>2202</v>
      </c>
      <c r="T8" s="4465"/>
      <c r="U8" s="4466"/>
      <c r="V8" s="3621">
        <f>SUM(V5:V7)</f>
        <v>2202</v>
      </c>
      <c r="W8" s="4465"/>
      <c r="X8" s="4466"/>
      <c r="Y8" s="6"/>
    </row>
    <row r="9" spans="2:25" ht="14.45" thickBot="1">
      <c r="B9" s="27"/>
      <c r="C9" s="2333"/>
      <c r="D9" s="3640"/>
      <c r="E9" s="4441"/>
      <c r="F9" s="4442"/>
      <c r="G9" s="3627"/>
      <c r="H9" s="4467"/>
      <c r="I9" s="4467"/>
      <c r="J9" s="3615"/>
      <c r="K9" s="4467"/>
      <c r="L9" s="4467"/>
      <c r="M9" s="3615"/>
      <c r="N9" s="4467"/>
      <c r="O9" s="4467"/>
      <c r="P9" s="3644"/>
      <c r="Q9" s="4468"/>
      <c r="R9" s="4468"/>
      <c r="S9" s="3615"/>
      <c r="T9" s="4467"/>
      <c r="U9" s="4469"/>
      <c r="V9" s="3615"/>
      <c r="W9" s="4467"/>
      <c r="X9" s="4469"/>
      <c r="Y9" s="6"/>
    </row>
    <row r="10" spans="2:25" ht="14.25" customHeight="1">
      <c r="B10" s="2328" t="s">
        <v>172</v>
      </c>
      <c r="C10" s="2113" t="s">
        <v>401</v>
      </c>
      <c r="D10" s="3639" t="s">
        <v>402</v>
      </c>
      <c r="E10" s="4441"/>
      <c r="F10" s="4442"/>
      <c r="G10" s="3616" t="s">
        <v>402</v>
      </c>
      <c r="H10" s="4470"/>
      <c r="I10" s="4471"/>
      <c r="J10" s="3625" t="s">
        <v>402</v>
      </c>
      <c r="K10" s="4449"/>
      <c r="L10" s="4472"/>
      <c r="M10" s="3616" t="s">
        <v>402</v>
      </c>
      <c r="N10" s="4470"/>
      <c r="O10" s="4471"/>
      <c r="P10" s="3616" t="s">
        <v>402</v>
      </c>
      <c r="Q10" s="4470"/>
      <c r="R10" s="4471"/>
      <c r="S10" s="3616" t="s">
        <v>402</v>
      </c>
      <c r="T10" s="4470"/>
      <c r="U10" s="4471"/>
      <c r="V10" s="3616" t="s">
        <v>402</v>
      </c>
      <c r="W10" s="4470"/>
      <c r="X10" s="4471"/>
      <c r="Y10" s="6"/>
    </row>
    <row r="11" spans="2:25" ht="14.25" customHeight="1">
      <c r="B11" s="2334" t="s">
        <v>165</v>
      </c>
      <c r="C11" s="2114" t="s">
        <v>403</v>
      </c>
      <c r="D11" s="3639" t="s">
        <v>404</v>
      </c>
      <c r="E11" s="4441"/>
      <c r="F11" s="4442"/>
      <c r="G11" s="3610" t="s">
        <v>404</v>
      </c>
      <c r="H11" s="4441"/>
      <c r="I11" s="4453"/>
      <c r="J11" s="3626" t="s">
        <v>404</v>
      </c>
      <c r="K11" s="4460"/>
      <c r="L11" s="4462"/>
      <c r="M11" s="3626" t="s">
        <v>404</v>
      </c>
      <c r="N11" s="4460"/>
      <c r="O11" s="4462"/>
      <c r="P11" s="3610" t="s">
        <v>404</v>
      </c>
      <c r="Q11" s="4441"/>
      <c r="R11" s="4453"/>
      <c r="S11" s="3610" t="s">
        <v>404</v>
      </c>
      <c r="T11" s="4441"/>
      <c r="U11" s="4453"/>
      <c r="V11" s="3610" t="s">
        <v>404</v>
      </c>
      <c r="W11" s="4441"/>
      <c r="X11" s="4453"/>
      <c r="Y11" s="6"/>
    </row>
    <row r="12" spans="2:25" ht="14.25" customHeight="1" thickBot="1">
      <c r="B12" s="2329" t="s">
        <v>399</v>
      </c>
      <c r="C12" s="2115" t="s">
        <v>403</v>
      </c>
      <c r="D12" s="3628" t="s">
        <v>405</v>
      </c>
      <c r="E12" s="4441"/>
      <c r="F12" s="4442"/>
      <c r="G12" s="3611" t="s">
        <v>405</v>
      </c>
      <c r="H12" s="4473"/>
      <c r="I12" s="4474"/>
      <c r="J12" s="3611" t="s">
        <v>405</v>
      </c>
      <c r="K12" s="4460"/>
      <c r="L12" s="4475"/>
      <c r="M12" s="3611" t="s">
        <v>405</v>
      </c>
      <c r="N12" s="4473"/>
      <c r="O12" s="4475"/>
      <c r="P12" s="3611" t="s">
        <v>405</v>
      </c>
      <c r="Q12" s="4473"/>
      <c r="R12" s="4473"/>
      <c r="S12" s="3611" t="s">
        <v>405</v>
      </c>
      <c r="T12" s="4473"/>
      <c r="U12" s="4474"/>
      <c r="V12" s="3611" t="s">
        <v>405</v>
      </c>
      <c r="W12" s="4473"/>
      <c r="X12" s="4474"/>
      <c r="Y12" s="6"/>
    </row>
    <row r="13" spans="2:25" ht="14.25" customHeight="1" thickBot="1">
      <c r="B13" s="2335"/>
      <c r="C13" s="2319"/>
      <c r="D13" s="2320"/>
      <c r="E13" s="6"/>
      <c r="F13" s="6"/>
      <c r="G13" s="2320"/>
      <c r="H13" s="720"/>
      <c r="I13" s="6"/>
      <c r="J13" s="2320"/>
      <c r="K13" s="6"/>
      <c r="L13" s="6"/>
      <c r="M13" s="2320"/>
      <c r="N13" s="6"/>
      <c r="O13" s="6"/>
      <c r="P13" s="2320"/>
      <c r="Q13" s="6"/>
      <c r="R13" s="6"/>
      <c r="S13" s="2320"/>
      <c r="T13" s="6"/>
      <c r="U13" s="6"/>
      <c r="V13" s="2320"/>
      <c r="W13" s="6"/>
      <c r="X13" s="6"/>
      <c r="Y13" s="6"/>
    </row>
    <row r="14" spans="2:25" ht="14.45" thickBot="1">
      <c r="B14" s="6"/>
      <c r="C14" s="6"/>
      <c r="D14" s="6"/>
      <c r="E14" s="6"/>
      <c r="F14" s="6"/>
      <c r="G14" s="6"/>
      <c r="H14" s="720"/>
      <c r="I14" s="6"/>
      <c r="J14" s="6"/>
      <c r="K14" s="1327"/>
      <c r="L14" s="6"/>
      <c r="M14" s="6"/>
      <c r="N14" s="6"/>
      <c r="O14" s="6"/>
      <c r="P14" s="6"/>
      <c r="Q14" s="6"/>
      <c r="R14" s="6"/>
      <c r="S14" s="6"/>
      <c r="T14" s="6"/>
      <c r="U14" s="6"/>
      <c r="V14" s="6"/>
      <c r="W14" s="6"/>
      <c r="X14" s="6"/>
      <c r="Y14" s="6"/>
    </row>
    <row r="15" spans="2:25" ht="18" thickBot="1">
      <c r="B15" s="722" t="s">
        <v>406</v>
      </c>
      <c r="C15" s="6"/>
      <c r="D15" s="6"/>
      <c r="E15" s="6"/>
      <c r="F15" s="6"/>
      <c r="G15" s="6"/>
      <c r="H15" s="6"/>
      <c r="I15" s="6"/>
      <c r="J15" s="6"/>
      <c r="K15" s="6"/>
      <c r="L15" s="6"/>
      <c r="M15" s="6"/>
      <c r="N15" s="6"/>
      <c r="O15" s="6"/>
      <c r="P15" s="720"/>
      <c r="Q15" s="6"/>
      <c r="R15" s="6"/>
      <c r="S15" s="6"/>
      <c r="T15" s="6"/>
      <c r="U15" s="6"/>
      <c r="V15" s="6"/>
      <c r="W15" s="6"/>
      <c r="X15" s="6"/>
      <c r="Y15" s="6"/>
    </row>
    <row r="16" spans="2:25" ht="19.149999999999999" customHeight="1" thickBot="1">
      <c r="B16" s="2336"/>
      <c r="C16" s="6"/>
      <c r="D16" s="3632" t="s">
        <v>12</v>
      </c>
      <c r="E16" s="3633"/>
      <c r="F16" s="3631"/>
      <c r="G16" s="3632" t="s">
        <v>302</v>
      </c>
      <c r="H16" s="3633"/>
      <c r="I16" s="3634"/>
      <c r="J16" s="3629" t="s">
        <v>14</v>
      </c>
      <c r="K16" s="3630"/>
      <c r="L16" s="3631"/>
      <c r="M16" s="3612" t="s">
        <v>15</v>
      </c>
      <c r="N16" s="3613"/>
      <c r="O16" s="3613"/>
      <c r="P16" s="3612" t="s">
        <v>16</v>
      </c>
      <c r="Q16" s="3613"/>
      <c r="R16" s="3613"/>
      <c r="S16" s="3612" t="s">
        <v>163</v>
      </c>
      <c r="T16" s="3613"/>
      <c r="U16" s="3613"/>
      <c r="V16" s="3612" t="s">
        <v>164</v>
      </c>
      <c r="W16" s="3613"/>
      <c r="X16" s="3613"/>
      <c r="Y16" s="6"/>
    </row>
    <row r="17" spans="2:25" ht="28.9" customHeight="1" thickBot="1">
      <c r="B17" s="2336"/>
      <c r="C17" s="2337"/>
      <c r="D17" s="2338"/>
      <c r="E17" s="2339"/>
      <c r="F17" s="2340"/>
      <c r="G17" s="2338"/>
      <c r="H17" s="2340"/>
      <c r="I17" s="2341"/>
      <c r="J17" s="2342"/>
      <c r="K17" s="2321"/>
      <c r="L17" s="2340"/>
      <c r="M17" s="2343" t="s">
        <v>172</v>
      </c>
      <c r="N17" s="2344" t="s">
        <v>165</v>
      </c>
      <c r="O17" s="2345" t="s">
        <v>175</v>
      </c>
      <c r="P17" s="2346" t="s">
        <v>172</v>
      </c>
      <c r="Q17" s="2344" t="s">
        <v>165</v>
      </c>
      <c r="R17" s="2347" t="s">
        <v>175</v>
      </c>
      <c r="S17" s="2346" t="s">
        <v>172</v>
      </c>
      <c r="T17" s="2344" t="s">
        <v>165</v>
      </c>
      <c r="U17" s="2347" t="s">
        <v>175</v>
      </c>
      <c r="V17" s="2346" t="s">
        <v>172</v>
      </c>
      <c r="W17" s="2344" t="s">
        <v>165</v>
      </c>
      <c r="X17" s="2347" t="s">
        <v>175</v>
      </c>
      <c r="Y17" s="6"/>
    </row>
    <row r="18" spans="2:25" ht="39" customHeight="1" thickBot="1">
      <c r="B18" s="3635"/>
      <c r="C18" s="2348" t="s">
        <v>407</v>
      </c>
      <c r="D18" s="2349" t="s">
        <v>172</v>
      </c>
      <c r="E18" s="2349" t="s">
        <v>165</v>
      </c>
      <c r="F18" s="2349" t="s">
        <v>408</v>
      </c>
      <c r="G18" s="2349" t="s">
        <v>172</v>
      </c>
      <c r="H18" s="2350" t="s">
        <v>165</v>
      </c>
      <c r="I18" s="2351" t="s">
        <v>408</v>
      </c>
      <c r="J18" s="2352" t="s">
        <v>172</v>
      </c>
      <c r="K18" s="2350" t="s">
        <v>165</v>
      </c>
      <c r="L18" s="2351" t="s">
        <v>175</v>
      </c>
      <c r="M18" s="2353"/>
      <c r="N18" s="2354"/>
      <c r="O18" s="2355"/>
      <c r="P18" s="2356"/>
      <c r="Q18" s="2357"/>
      <c r="R18" s="2355"/>
      <c r="S18" s="2358"/>
      <c r="T18" s="2356"/>
      <c r="U18" s="2355"/>
      <c r="V18" s="2358"/>
      <c r="W18" s="2356"/>
      <c r="X18" s="2355"/>
      <c r="Y18" s="6"/>
    </row>
    <row r="19" spans="2:25" ht="72" customHeight="1">
      <c r="B19" s="3635"/>
      <c r="C19" s="2359" t="s">
        <v>409</v>
      </c>
      <c r="D19" s="2280" t="s">
        <v>252</v>
      </c>
      <c r="E19" s="2280" t="s">
        <v>252</v>
      </c>
      <c r="F19" s="2280" t="s">
        <v>252</v>
      </c>
      <c r="G19" s="2280" t="s">
        <v>252</v>
      </c>
      <c r="H19" s="2360" t="s">
        <v>252</v>
      </c>
      <c r="I19" s="2361" t="s">
        <v>252</v>
      </c>
      <c r="J19" s="2279" t="s">
        <v>24</v>
      </c>
      <c r="K19" s="2360" t="s">
        <v>410</v>
      </c>
      <c r="L19" s="2361" t="s">
        <v>411</v>
      </c>
      <c r="M19" s="2362" t="s">
        <v>24</v>
      </c>
      <c r="N19" s="2363" t="s">
        <v>410</v>
      </c>
      <c r="O19" s="2364" t="s">
        <v>411</v>
      </c>
      <c r="P19" s="2365" t="s">
        <v>24</v>
      </c>
      <c r="Q19" s="2363" t="s">
        <v>410</v>
      </c>
      <c r="R19" s="2366" t="s">
        <v>411</v>
      </c>
      <c r="S19" s="2367" t="s">
        <v>24</v>
      </c>
      <c r="T19" s="2367" t="s">
        <v>410</v>
      </c>
      <c r="U19" s="2366" t="s">
        <v>411</v>
      </c>
      <c r="V19" s="2367" t="s">
        <v>24</v>
      </c>
      <c r="W19" s="2367" t="s">
        <v>410</v>
      </c>
      <c r="X19" s="2366" t="s">
        <v>411</v>
      </c>
      <c r="Y19" s="6"/>
    </row>
    <row r="20" spans="2:25" ht="26.45">
      <c r="B20" s="3635"/>
      <c r="C20" s="2368" t="s">
        <v>412</v>
      </c>
      <c r="D20" s="2280" t="s">
        <v>252</v>
      </c>
      <c r="E20" s="2280" t="s">
        <v>252</v>
      </c>
      <c r="F20" s="2280" t="s">
        <v>252</v>
      </c>
      <c r="G20" s="2280" t="s">
        <v>252</v>
      </c>
      <c r="H20" s="2360" t="s">
        <v>252</v>
      </c>
      <c r="I20" s="2361" t="s">
        <v>252</v>
      </c>
      <c r="J20" s="2279" t="s">
        <v>24</v>
      </c>
      <c r="K20" s="2360" t="s">
        <v>413</v>
      </c>
      <c r="L20" s="2361" t="s">
        <v>414</v>
      </c>
      <c r="M20" s="2369" t="s">
        <v>24</v>
      </c>
      <c r="N20" s="2370" t="s">
        <v>415</v>
      </c>
      <c r="O20" s="2371" t="s">
        <v>414</v>
      </c>
      <c r="P20" s="2372" t="s">
        <v>24</v>
      </c>
      <c r="Q20" s="2370" t="s">
        <v>415</v>
      </c>
      <c r="R20" s="2373" t="s">
        <v>414</v>
      </c>
      <c r="S20" s="2374" t="s">
        <v>24</v>
      </c>
      <c r="T20" s="2375" t="s">
        <v>415</v>
      </c>
      <c r="U20" s="2376" t="s">
        <v>414</v>
      </c>
      <c r="V20" s="2374" t="s">
        <v>24</v>
      </c>
      <c r="W20" s="2375" t="s">
        <v>415</v>
      </c>
      <c r="X20" s="2376" t="s">
        <v>414</v>
      </c>
      <c r="Y20" s="6"/>
    </row>
    <row r="21" spans="2:25" ht="26.45">
      <c r="B21" s="3635"/>
      <c r="C21" s="2368" t="s">
        <v>416</v>
      </c>
      <c r="D21" s="2280" t="s">
        <v>252</v>
      </c>
      <c r="E21" s="2280" t="s">
        <v>252</v>
      </c>
      <c r="F21" s="2280" t="s">
        <v>252</v>
      </c>
      <c r="G21" s="2280" t="s">
        <v>252</v>
      </c>
      <c r="H21" s="2360" t="s">
        <v>252</v>
      </c>
      <c r="I21" s="2361" t="s">
        <v>252</v>
      </c>
      <c r="J21" s="2279" t="s">
        <v>24</v>
      </c>
      <c r="K21" s="2360" t="s">
        <v>417</v>
      </c>
      <c r="L21" s="2361" t="s">
        <v>418</v>
      </c>
      <c r="M21" s="2369" t="s">
        <v>24</v>
      </c>
      <c r="N21" s="2370" t="s">
        <v>417</v>
      </c>
      <c r="O21" s="2371" t="s">
        <v>418</v>
      </c>
      <c r="P21" s="2372" t="s">
        <v>24</v>
      </c>
      <c r="Q21" s="2370" t="s">
        <v>417</v>
      </c>
      <c r="R21" s="2373" t="s">
        <v>418</v>
      </c>
      <c r="S21" s="2374" t="s">
        <v>24</v>
      </c>
      <c r="T21" s="2374" t="s">
        <v>417</v>
      </c>
      <c r="U21" s="2373" t="s">
        <v>418</v>
      </c>
      <c r="V21" s="2374" t="s">
        <v>24</v>
      </c>
      <c r="W21" s="2374" t="s">
        <v>417</v>
      </c>
      <c r="X21" s="2373" t="s">
        <v>418</v>
      </c>
      <c r="Y21" s="6"/>
    </row>
    <row r="22" spans="2:25" ht="39.6">
      <c r="B22" s="3635"/>
      <c r="C22" s="2368" t="s">
        <v>419</v>
      </c>
      <c r="D22" s="2280" t="s">
        <v>252</v>
      </c>
      <c r="E22" s="2280" t="s">
        <v>252</v>
      </c>
      <c r="F22" s="2280" t="s">
        <v>252</v>
      </c>
      <c r="G22" s="2280" t="s">
        <v>252</v>
      </c>
      <c r="H22" s="2360" t="s">
        <v>252</v>
      </c>
      <c r="I22" s="2361" t="s">
        <v>252</v>
      </c>
      <c r="J22" s="2279" t="s">
        <v>24</v>
      </c>
      <c r="K22" s="2360" t="s">
        <v>420</v>
      </c>
      <c r="L22" s="2361" t="s">
        <v>421</v>
      </c>
      <c r="M22" s="2369" t="s">
        <v>24</v>
      </c>
      <c r="N22" s="2370" t="s">
        <v>420</v>
      </c>
      <c r="O22" s="2371" t="s">
        <v>421</v>
      </c>
      <c r="P22" s="2372" t="s">
        <v>24</v>
      </c>
      <c r="Q22" s="2370" t="s">
        <v>420</v>
      </c>
      <c r="R22" s="2373" t="s">
        <v>421</v>
      </c>
      <c r="S22" s="2374" t="s">
        <v>24</v>
      </c>
      <c r="T22" s="2374" t="s">
        <v>420</v>
      </c>
      <c r="U22" s="2373" t="s">
        <v>421</v>
      </c>
      <c r="V22" s="2374" t="s">
        <v>24</v>
      </c>
      <c r="W22" s="2374" t="s">
        <v>420</v>
      </c>
      <c r="X22" s="2373" t="s">
        <v>421</v>
      </c>
      <c r="Y22" s="6"/>
    </row>
    <row r="23" spans="2:25" ht="39.6">
      <c r="B23" s="3635"/>
      <c r="C23" s="2368" t="s">
        <v>422</v>
      </c>
      <c r="D23" s="2280" t="s">
        <v>252</v>
      </c>
      <c r="E23" s="2280" t="s">
        <v>252</v>
      </c>
      <c r="F23" s="2280" t="s">
        <v>252</v>
      </c>
      <c r="G23" s="2280" t="s">
        <v>252</v>
      </c>
      <c r="H23" s="2360" t="s">
        <v>252</v>
      </c>
      <c r="I23" s="2361" t="s">
        <v>252</v>
      </c>
      <c r="J23" s="2279" t="s">
        <v>24</v>
      </c>
      <c r="K23" s="2360" t="s">
        <v>423</v>
      </c>
      <c r="L23" s="2361" t="s">
        <v>424</v>
      </c>
      <c r="M23" s="2369" t="s">
        <v>24</v>
      </c>
      <c r="N23" s="2370" t="s">
        <v>423</v>
      </c>
      <c r="O23" s="2371" t="s">
        <v>424</v>
      </c>
      <c r="P23" s="2372" t="s">
        <v>24</v>
      </c>
      <c r="Q23" s="2370" t="s">
        <v>423</v>
      </c>
      <c r="R23" s="2373" t="s">
        <v>424</v>
      </c>
      <c r="S23" s="2374" t="s">
        <v>24</v>
      </c>
      <c r="T23" s="2374" t="s">
        <v>423</v>
      </c>
      <c r="U23" s="2373" t="s">
        <v>424</v>
      </c>
      <c r="V23" s="2374" t="s">
        <v>24</v>
      </c>
      <c r="W23" s="2374" t="s">
        <v>423</v>
      </c>
      <c r="X23" s="2373" t="s">
        <v>424</v>
      </c>
      <c r="Y23" s="6"/>
    </row>
    <row r="24" spans="2:25" ht="52.9">
      <c r="B24" s="3635"/>
      <c r="C24" s="2368" t="s">
        <v>425</v>
      </c>
      <c r="D24" s="2280" t="s">
        <v>252</v>
      </c>
      <c r="E24" s="2280" t="s">
        <v>252</v>
      </c>
      <c r="F24" s="2280" t="s">
        <v>252</v>
      </c>
      <c r="G24" s="2280" t="s">
        <v>252</v>
      </c>
      <c r="H24" s="2360" t="s">
        <v>252</v>
      </c>
      <c r="I24" s="2361" t="s">
        <v>252</v>
      </c>
      <c r="J24" s="2279" t="s">
        <v>24</v>
      </c>
      <c r="K24" s="2360" t="s">
        <v>426</v>
      </c>
      <c r="L24" s="2361" t="s">
        <v>427</v>
      </c>
      <c r="M24" s="2369" t="s">
        <v>24</v>
      </c>
      <c r="N24" s="2370" t="s">
        <v>426</v>
      </c>
      <c r="O24" s="2371" t="s">
        <v>427</v>
      </c>
      <c r="P24" s="2372" t="s">
        <v>24</v>
      </c>
      <c r="Q24" s="2370" t="s">
        <v>426</v>
      </c>
      <c r="R24" s="2373" t="s">
        <v>427</v>
      </c>
      <c r="S24" s="2374" t="s">
        <v>24</v>
      </c>
      <c r="T24" s="2374" t="s">
        <v>426</v>
      </c>
      <c r="U24" s="2373" t="s">
        <v>427</v>
      </c>
      <c r="V24" s="2374" t="s">
        <v>24</v>
      </c>
      <c r="W24" s="2374" t="s">
        <v>426</v>
      </c>
      <c r="X24" s="2373" t="s">
        <v>427</v>
      </c>
      <c r="Y24" s="6"/>
    </row>
    <row r="25" spans="2:25" ht="79.150000000000006">
      <c r="B25" s="3635"/>
      <c r="C25" s="2377" t="s">
        <v>428</v>
      </c>
      <c r="D25" s="2378" t="s">
        <v>252</v>
      </c>
      <c r="E25" s="2378" t="s">
        <v>252</v>
      </c>
      <c r="F25" s="2378" t="s">
        <v>252</v>
      </c>
      <c r="G25" s="2378" t="s">
        <v>252</v>
      </c>
      <c r="H25" s="2379" t="s">
        <v>252</v>
      </c>
      <c r="I25" s="2380" t="s">
        <v>252</v>
      </c>
      <c r="J25" s="2381" t="s">
        <v>24</v>
      </c>
      <c r="K25" s="2379" t="s">
        <v>429</v>
      </c>
      <c r="L25" s="2380" t="s">
        <v>430</v>
      </c>
      <c r="M25" s="2382" t="s">
        <v>24</v>
      </c>
      <c r="N25" s="2383" t="s">
        <v>429</v>
      </c>
      <c r="O25" s="2384" t="s">
        <v>430</v>
      </c>
      <c r="P25" s="2385" t="s">
        <v>24</v>
      </c>
      <c r="Q25" s="2383" t="s">
        <v>429</v>
      </c>
      <c r="R25" s="2386" t="s">
        <v>430</v>
      </c>
      <c r="S25" s="2387" t="s">
        <v>24</v>
      </c>
      <c r="T25" s="2387" t="s">
        <v>429</v>
      </c>
      <c r="U25" s="2386" t="s">
        <v>430</v>
      </c>
      <c r="V25" s="2387" t="s">
        <v>24</v>
      </c>
      <c r="W25" s="2387" t="s">
        <v>429</v>
      </c>
      <c r="X25" s="2386" t="s">
        <v>430</v>
      </c>
      <c r="Y25" s="6"/>
    </row>
    <row r="26" spans="2:25" ht="34.9" customHeight="1" thickBot="1">
      <c r="B26" s="3635"/>
      <c r="C26" s="2388" t="s">
        <v>431</v>
      </c>
      <c r="D26" s="2389"/>
      <c r="E26" s="2390"/>
      <c r="F26" s="2390"/>
      <c r="G26" s="2390"/>
      <c r="H26" s="2391"/>
      <c r="I26" s="2392"/>
      <c r="J26" s="2389"/>
      <c r="K26" s="2391"/>
      <c r="L26" s="2391"/>
      <c r="M26" s="2358"/>
      <c r="N26" s="2354"/>
      <c r="O26" s="2356"/>
      <c r="P26" s="2393"/>
      <c r="Q26" s="2356"/>
      <c r="R26" s="2355"/>
      <c r="S26" s="2358"/>
      <c r="T26" s="2393"/>
      <c r="U26" s="2394"/>
      <c r="V26" s="2358"/>
      <c r="W26" s="2393"/>
      <c r="X26" s="2394"/>
      <c r="Y26" s="6"/>
    </row>
    <row r="27" spans="2:25" ht="52.9">
      <c r="B27" s="3635"/>
      <c r="C27" s="2395" t="s">
        <v>432</v>
      </c>
      <c r="D27" s="2396" t="s">
        <v>252</v>
      </c>
      <c r="E27" s="2396" t="s">
        <v>252</v>
      </c>
      <c r="F27" s="2396" t="s">
        <v>252</v>
      </c>
      <c r="G27" s="2396" t="s">
        <v>252</v>
      </c>
      <c r="H27" s="2397" t="s">
        <v>252</v>
      </c>
      <c r="I27" s="2398" t="s">
        <v>252</v>
      </c>
      <c r="J27" s="2399" t="s">
        <v>24</v>
      </c>
      <c r="K27" s="2397" t="s">
        <v>433</v>
      </c>
      <c r="L27" s="2398" t="s">
        <v>434</v>
      </c>
      <c r="M27" s="2400" t="s">
        <v>24</v>
      </c>
      <c r="N27" s="2401" t="s">
        <v>433</v>
      </c>
      <c r="O27" s="2402" t="s">
        <v>434</v>
      </c>
      <c r="P27" s="2403" t="s">
        <v>24</v>
      </c>
      <c r="Q27" s="2401" t="s">
        <v>433</v>
      </c>
      <c r="R27" s="2404" t="s">
        <v>434</v>
      </c>
      <c r="S27" s="2405" t="s">
        <v>24</v>
      </c>
      <c r="T27" s="2406" t="s">
        <v>433</v>
      </c>
      <c r="U27" s="2404" t="s">
        <v>434</v>
      </c>
      <c r="V27" s="2405" t="s">
        <v>24</v>
      </c>
      <c r="W27" s="2406" t="s">
        <v>433</v>
      </c>
      <c r="X27" s="2404" t="s">
        <v>434</v>
      </c>
      <c r="Y27" s="6"/>
    </row>
    <row r="28" spans="2:25" ht="57.75" customHeight="1">
      <c r="B28" s="3635"/>
      <c r="C28" s="2368" t="s">
        <v>435</v>
      </c>
      <c r="D28" s="2280" t="s">
        <v>252</v>
      </c>
      <c r="E28" s="2280" t="s">
        <v>252</v>
      </c>
      <c r="F28" s="2280" t="s">
        <v>252</v>
      </c>
      <c r="G28" s="2280" t="s">
        <v>252</v>
      </c>
      <c r="H28" s="2360" t="s">
        <v>252</v>
      </c>
      <c r="I28" s="2361" t="s">
        <v>252</v>
      </c>
      <c r="J28" s="2279" t="s">
        <v>24</v>
      </c>
      <c r="K28" s="2360" t="s">
        <v>436</v>
      </c>
      <c r="L28" s="2361" t="s">
        <v>437</v>
      </c>
      <c r="M28" s="2369" t="s">
        <v>24</v>
      </c>
      <c r="N28" s="2374" t="s">
        <v>436</v>
      </c>
      <c r="O28" s="2371" t="s">
        <v>437</v>
      </c>
      <c r="P28" s="2372" t="s">
        <v>24</v>
      </c>
      <c r="Q28" s="2374" t="s">
        <v>436</v>
      </c>
      <c r="R28" s="2373" t="s">
        <v>437</v>
      </c>
      <c r="S28" s="2372" t="s">
        <v>24</v>
      </c>
      <c r="T28" s="2370" t="s">
        <v>436</v>
      </c>
      <c r="U28" s="2373" t="s">
        <v>437</v>
      </c>
      <c r="V28" s="2372" t="s">
        <v>24</v>
      </c>
      <c r="W28" s="2370" t="s">
        <v>436</v>
      </c>
      <c r="X28" s="2373" t="s">
        <v>437</v>
      </c>
      <c r="Y28" s="6"/>
    </row>
    <row r="29" spans="2:25" ht="26.45">
      <c r="B29" s="3635"/>
      <c r="C29" s="2368" t="s">
        <v>438</v>
      </c>
      <c r="D29" s="2280" t="s">
        <v>252</v>
      </c>
      <c r="E29" s="2280" t="s">
        <v>252</v>
      </c>
      <c r="F29" s="2280" t="s">
        <v>252</v>
      </c>
      <c r="G29" s="2280" t="s">
        <v>252</v>
      </c>
      <c r="H29" s="2360" t="s">
        <v>252</v>
      </c>
      <c r="I29" s="2361" t="s">
        <v>252</v>
      </c>
      <c r="J29" s="2279" t="s">
        <v>24</v>
      </c>
      <c r="K29" s="2360" t="s">
        <v>439</v>
      </c>
      <c r="L29" s="2407" t="s">
        <v>440</v>
      </c>
      <c r="M29" s="2369" t="s">
        <v>24</v>
      </c>
      <c r="N29" s="2374" t="s">
        <v>439</v>
      </c>
      <c r="O29" s="2408" t="s">
        <v>440</v>
      </c>
      <c r="P29" s="2372" t="s">
        <v>24</v>
      </c>
      <c r="Q29" s="2374" t="s">
        <v>439</v>
      </c>
      <c r="R29" s="2409" t="s">
        <v>440</v>
      </c>
      <c r="S29" s="2372" t="s">
        <v>24</v>
      </c>
      <c r="T29" s="2370" t="s">
        <v>439</v>
      </c>
      <c r="U29" s="2409" t="s">
        <v>440</v>
      </c>
      <c r="V29" s="2372" t="s">
        <v>24</v>
      </c>
      <c r="W29" s="2370" t="s">
        <v>439</v>
      </c>
      <c r="X29" s="2409" t="s">
        <v>440</v>
      </c>
      <c r="Y29" s="6"/>
    </row>
    <row r="30" spans="2:25" ht="52.9">
      <c r="B30" s="3635"/>
      <c r="C30" s="2368" t="s">
        <v>441</v>
      </c>
      <c r="D30" s="2280" t="s">
        <v>252</v>
      </c>
      <c r="E30" s="2280" t="s">
        <v>252</v>
      </c>
      <c r="F30" s="2280" t="s">
        <v>252</v>
      </c>
      <c r="G30" s="2280" t="s">
        <v>252</v>
      </c>
      <c r="H30" s="2360" t="s">
        <v>252</v>
      </c>
      <c r="I30" s="2361" t="s">
        <v>252</v>
      </c>
      <c r="J30" s="2279" t="s">
        <v>24</v>
      </c>
      <c r="K30" s="2360" t="s">
        <v>439</v>
      </c>
      <c r="L30" s="2361" t="s">
        <v>442</v>
      </c>
      <c r="M30" s="2369" t="s">
        <v>24</v>
      </c>
      <c r="N30" s="2374" t="s">
        <v>439</v>
      </c>
      <c r="O30" s="2371" t="s">
        <v>442</v>
      </c>
      <c r="P30" s="2372" t="s">
        <v>24</v>
      </c>
      <c r="Q30" s="2374" t="s">
        <v>439</v>
      </c>
      <c r="R30" s="2373" t="s">
        <v>442</v>
      </c>
      <c r="S30" s="2372" t="s">
        <v>24</v>
      </c>
      <c r="T30" s="2370" t="s">
        <v>439</v>
      </c>
      <c r="U30" s="2373" t="s">
        <v>442</v>
      </c>
      <c r="V30" s="2372" t="s">
        <v>24</v>
      </c>
      <c r="W30" s="2370" t="s">
        <v>439</v>
      </c>
      <c r="X30" s="2373" t="s">
        <v>442</v>
      </c>
      <c r="Y30" s="6"/>
    </row>
    <row r="31" spans="2:25" ht="27.75" customHeight="1">
      <c r="B31" s="3635"/>
      <c r="C31" s="2368" t="s">
        <v>443</v>
      </c>
      <c r="D31" s="2280" t="s">
        <v>252</v>
      </c>
      <c r="E31" s="2280" t="s">
        <v>252</v>
      </c>
      <c r="F31" s="2280" t="s">
        <v>252</v>
      </c>
      <c r="G31" s="2280" t="s">
        <v>252</v>
      </c>
      <c r="H31" s="2360" t="s">
        <v>252</v>
      </c>
      <c r="I31" s="2361" t="s">
        <v>252</v>
      </c>
      <c r="J31" s="2279" t="s">
        <v>24</v>
      </c>
      <c r="K31" s="2360" t="s">
        <v>439</v>
      </c>
      <c r="L31" s="2361" t="s">
        <v>444</v>
      </c>
      <c r="M31" s="2369" t="s">
        <v>24</v>
      </c>
      <c r="N31" s="2374" t="s">
        <v>439</v>
      </c>
      <c r="O31" s="2371" t="s">
        <v>444</v>
      </c>
      <c r="P31" s="2372" t="s">
        <v>24</v>
      </c>
      <c r="Q31" s="2374" t="s">
        <v>439</v>
      </c>
      <c r="R31" s="2373" t="s">
        <v>444</v>
      </c>
      <c r="S31" s="2372" t="s">
        <v>24</v>
      </c>
      <c r="T31" s="2370" t="s">
        <v>439</v>
      </c>
      <c r="U31" s="2373" t="s">
        <v>444</v>
      </c>
      <c r="V31" s="2372" t="s">
        <v>24</v>
      </c>
      <c r="W31" s="2370" t="s">
        <v>439</v>
      </c>
      <c r="X31" s="2373" t="s">
        <v>444</v>
      </c>
      <c r="Y31" s="6"/>
    </row>
    <row r="32" spans="2:25" ht="39.6">
      <c r="B32" s="3635"/>
      <c r="C32" s="2368" t="s">
        <v>445</v>
      </c>
      <c r="D32" s="2280" t="s">
        <v>252</v>
      </c>
      <c r="E32" s="2280" t="s">
        <v>252</v>
      </c>
      <c r="F32" s="2280" t="s">
        <v>252</v>
      </c>
      <c r="G32" s="2280" t="s">
        <v>252</v>
      </c>
      <c r="H32" s="2360" t="s">
        <v>252</v>
      </c>
      <c r="I32" s="2361" t="s">
        <v>252</v>
      </c>
      <c r="J32" s="2279" t="s">
        <v>24</v>
      </c>
      <c r="K32" s="2360" t="s">
        <v>446</v>
      </c>
      <c r="L32" s="2361" t="s">
        <v>447</v>
      </c>
      <c r="M32" s="2369" t="s">
        <v>24</v>
      </c>
      <c r="N32" s="2374" t="s">
        <v>446</v>
      </c>
      <c r="O32" s="2371" t="s">
        <v>447</v>
      </c>
      <c r="P32" s="2372" t="s">
        <v>24</v>
      </c>
      <c r="Q32" s="2374" t="s">
        <v>446</v>
      </c>
      <c r="R32" s="2373" t="s">
        <v>447</v>
      </c>
      <c r="S32" s="2372" t="s">
        <v>24</v>
      </c>
      <c r="T32" s="2370" t="s">
        <v>446</v>
      </c>
      <c r="U32" s="2373" t="s">
        <v>447</v>
      </c>
      <c r="V32" s="2372" t="s">
        <v>24</v>
      </c>
      <c r="W32" s="2370" t="s">
        <v>446</v>
      </c>
      <c r="X32" s="2373" t="s">
        <v>447</v>
      </c>
      <c r="Y32" s="6"/>
    </row>
    <row r="33" spans="2:25" ht="44.65" customHeight="1">
      <c r="B33" s="3635"/>
      <c r="C33" s="2410" t="s">
        <v>448</v>
      </c>
      <c r="D33" s="2280" t="s">
        <v>252</v>
      </c>
      <c r="E33" s="2280" t="s">
        <v>252</v>
      </c>
      <c r="F33" s="2280" t="s">
        <v>252</v>
      </c>
      <c r="G33" s="2280" t="s">
        <v>252</v>
      </c>
      <c r="H33" s="2360" t="s">
        <v>252</v>
      </c>
      <c r="I33" s="2361" t="s">
        <v>252</v>
      </c>
      <c r="J33" s="2279" t="s">
        <v>24</v>
      </c>
      <c r="K33" s="2360" t="s">
        <v>449</v>
      </c>
      <c r="L33" s="2361" t="s">
        <v>450</v>
      </c>
      <c r="M33" s="2369" t="s">
        <v>24</v>
      </c>
      <c r="N33" s="2374" t="s">
        <v>449</v>
      </c>
      <c r="O33" s="2371" t="s">
        <v>450</v>
      </c>
      <c r="P33" s="2372" t="s">
        <v>24</v>
      </c>
      <c r="Q33" s="2374" t="s">
        <v>449</v>
      </c>
      <c r="R33" s="2373" t="s">
        <v>450</v>
      </c>
      <c r="S33" s="2372" t="s">
        <v>24</v>
      </c>
      <c r="T33" s="2370" t="s">
        <v>451</v>
      </c>
      <c r="U33" s="2373" t="s">
        <v>450</v>
      </c>
      <c r="V33" s="2372" t="s">
        <v>24</v>
      </c>
      <c r="W33" s="2370" t="s">
        <v>451</v>
      </c>
      <c r="X33" s="2373" t="s">
        <v>450</v>
      </c>
      <c r="Y33" s="6"/>
    </row>
    <row r="34" spans="2:25" ht="33.75" customHeight="1">
      <c r="B34" s="3635"/>
      <c r="C34" s="2368" t="s">
        <v>452</v>
      </c>
      <c r="D34" s="2280" t="s">
        <v>252</v>
      </c>
      <c r="E34" s="2280" t="s">
        <v>252</v>
      </c>
      <c r="F34" s="2280" t="s">
        <v>252</v>
      </c>
      <c r="G34" s="2280" t="s">
        <v>252</v>
      </c>
      <c r="H34" s="2360" t="s">
        <v>252</v>
      </c>
      <c r="I34" s="2361" t="s">
        <v>252</v>
      </c>
      <c r="J34" s="2279" t="s">
        <v>24</v>
      </c>
      <c r="K34" s="2360" t="s">
        <v>453</v>
      </c>
      <c r="L34" s="2361" t="s">
        <v>454</v>
      </c>
      <c r="M34" s="2369" t="s">
        <v>24</v>
      </c>
      <c r="N34" s="2374" t="s">
        <v>453</v>
      </c>
      <c r="O34" s="2371" t="s">
        <v>454</v>
      </c>
      <c r="P34" s="2372" t="s">
        <v>24</v>
      </c>
      <c r="Q34" s="2374" t="s">
        <v>453</v>
      </c>
      <c r="R34" s="2373" t="s">
        <v>454</v>
      </c>
      <c r="S34" s="2372" t="s">
        <v>24</v>
      </c>
      <c r="T34" s="2370" t="s">
        <v>453</v>
      </c>
      <c r="U34" s="2373" t="s">
        <v>454</v>
      </c>
      <c r="V34" s="2372" t="s">
        <v>24</v>
      </c>
      <c r="W34" s="2370" t="s">
        <v>453</v>
      </c>
      <c r="X34" s="2373" t="s">
        <v>454</v>
      </c>
      <c r="Y34" s="6"/>
    </row>
    <row r="35" spans="2:25" ht="34.5" customHeight="1">
      <c r="B35" s="3635"/>
      <c r="C35" s="2368" t="s">
        <v>455</v>
      </c>
      <c r="D35" s="2280" t="s">
        <v>252</v>
      </c>
      <c r="E35" s="2280" t="s">
        <v>252</v>
      </c>
      <c r="F35" s="2280" t="s">
        <v>252</v>
      </c>
      <c r="G35" s="2280" t="s">
        <v>252</v>
      </c>
      <c r="H35" s="2360" t="s">
        <v>252</v>
      </c>
      <c r="I35" s="2361" t="s">
        <v>252</v>
      </c>
      <c r="J35" s="2279" t="s">
        <v>24</v>
      </c>
      <c r="K35" s="2360" t="s">
        <v>456</v>
      </c>
      <c r="L35" s="2361" t="s">
        <v>457</v>
      </c>
      <c r="M35" s="2369" t="s">
        <v>24</v>
      </c>
      <c r="N35" s="2374" t="s">
        <v>456</v>
      </c>
      <c r="O35" s="2371" t="s">
        <v>457</v>
      </c>
      <c r="P35" s="2372" t="s">
        <v>24</v>
      </c>
      <c r="Q35" s="2374" t="s">
        <v>456</v>
      </c>
      <c r="R35" s="2373" t="s">
        <v>457</v>
      </c>
      <c r="S35" s="2372" t="s">
        <v>24</v>
      </c>
      <c r="T35" s="2370" t="s">
        <v>456</v>
      </c>
      <c r="U35" s="2373" t="s">
        <v>457</v>
      </c>
      <c r="V35" s="2372" t="s">
        <v>24</v>
      </c>
      <c r="W35" s="2370" t="s">
        <v>456</v>
      </c>
      <c r="X35" s="2373" t="s">
        <v>457</v>
      </c>
      <c r="Y35" s="6"/>
    </row>
    <row r="36" spans="2:25" ht="34.5" customHeight="1">
      <c r="B36" s="3635"/>
      <c r="C36" s="2411" t="s">
        <v>458</v>
      </c>
      <c r="D36" s="2378" t="s">
        <v>252</v>
      </c>
      <c r="E36" s="2378" t="s">
        <v>252</v>
      </c>
      <c r="F36" s="2378" t="s">
        <v>252</v>
      </c>
      <c r="G36" s="2378" t="s">
        <v>252</v>
      </c>
      <c r="H36" s="2379" t="s">
        <v>252</v>
      </c>
      <c r="I36" s="2380" t="s">
        <v>252</v>
      </c>
      <c r="J36" s="2381" t="s">
        <v>24</v>
      </c>
      <c r="K36" s="2379" t="s">
        <v>459</v>
      </c>
      <c r="L36" s="2380" t="s">
        <v>460</v>
      </c>
      <c r="M36" s="2382" t="s">
        <v>24</v>
      </c>
      <c r="N36" s="2412" t="s">
        <v>459</v>
      </c>
      <c r="O36" s="2384" t="s">
        <v>460</v>
      </c>
      <c r="P36" s="2385" t="s">
        <v>24</v>
      </c>
      <c r="Q36" s="2412" t="s">
        <v>459</v>
      </c>
      <c r="R36" s="2386" t="s">
        <v>460</v>
      </c>
      <c r="S36" s="2385" t="s">
        <v>24</v>
      </c>
      <c r="T36" s="2383" t="s">
        <v>459</v>
      </c>
      <c r="U36" s="2386" t="s">
        <v>460</v>
      </c>
      <c r="V36" s="2385" t="s">
        <v>24</v>
      </c>
      <c r="W36" s="2383" t="s">
        <v>459</v>
      </c>
      <c r="X36" s="2386" t="s">
        <v>460</v>
      </c>
      <c r="Y36" s="6"/>
    </row>
    <row r="37" spans="2:25" ht="34.15" customHeight="1" thickBot="1">
      <c r="B37" s="3635"/>
      <c r="C37" s="2413" t="s">
        <v>461</v>
      </c>
      <c r="D37" s="2414"/>
      <c r="E37" s="2415"/>
      <c r="F37" s="2415"/>
      <c r="G37" s="2415"/>
      <c r="H37" s="2416"/>
      <c r="I37" s="2417"/>
      <c r="J37" s="2414"/>
      <c r="K37" s="2394"/>
      <c r="L37" s="2358"/>
      <c r="M37" s="2356"/>
      <c r="N37" s="2357"/>
      <c r="O37" s="2355"/>
      <c r="P37" s="2394"/>
      <c r="Q37" s="2358"/>
      <c r="R37" s="2394"/>
      <c r="S37" s="2358"/>
      <c r="T37" s="2356"/>
      <c r="U37" s="2355"/>
      <c r="V37" s="2358"/>
      <c r="W37" s="2356"/>
      <c r="X37" s="2355"/>
      <c r="Y37" s="6"/>
    </row>
    <row r="38" spans="2:25" ht="79.150000000000006">
      <c r="B38" s="3635"/>
      <c r="C38" s="2418" t="s">
        <v>462</v>
      </c>
      <c r="D38" s="2396" t="s">
        <v>252</v>
      </c>
      <c r="E38" s="2396" t="s">
        <v>252</v>
      </c>
      <c r="F38" s="2396" t="s">
        <v>252</v>
      </c>
      <c r="G38" s="2396" t="s">
        <v>252</v>
      </c>
      <c r="H38" s="2397" t="s">
        <v>252</v>
      </c>
      <c r="I38" s="2398" t="s">
        <v>252</v>
      </c>
      <c r="J38" s="2399" t="s">
        <v>24</v>
      </c>
      <c r="K38" s="2397" t="s">
        <v>24</v>
      </c>
      <c r="L38" s="2419" t="s">
        <v>463</v>
      </c>
      <c r="M38" s="2400" t="s">
        <v>24</v>
      </c>
      <c r="N38" s="2406" t="s">
        <v>24</v>
      </c>
      <c r="O38" s="2402" t="s">
        <v>463</v>
      </c>
      <c r="P38" s="2403" t="s">
        <v>24</v>
      </c>
      <c r="Q38" s="2406" t="s">
        <v>24</v>
      </c>
      <c r="R38" s="2404" t="s">
        <v>463</v>
      </c>
      <c r="S38" s="2403" t="s">
        <v>24</v>
      </c>
      <c r="T38" s="2401" t="s">
        <v>24</v>
      </c>
      <c r="U38" s="2404" t="s">
        <v>463</v>
      </c>
      <c r="V38" s="2403" t="s">
        <v>24</v>
      </c>
      <c r="W38" s="2401" t="s">
        <v>24</v>
      </c>
      <c r="X38" s="2404" t="s">
        <v>463</v>
      </c>
      <c r="Y38" s="6"/>
    </row>
    <row r="39" spans="2:25" ht="79.150000000000006">
      <c r="B39" s="3635"/>
      <c r="C39" s="2410" t="s">
        <v>464</v>
      </c>
      <c r="D39" s="2280" t="s">
        <v>252</v>
      </c>
      <c r="E39" s="2280" t="s">
        <v>252</v>
      </c>
      <c r="F39" s="2280" t="s">
        <v>252</v>
      </c>
      <c r="G39" s="2280" t="s">
        <v>252</v>
      </c>
      <c r="H39" s="2360" t="s">
        <v>252</v>
      </c>
      <c r="I39" s="2361" t="s">
        <v>252</v>
      </c>
      <c r="J39" s="2279" t="s">
        <v>24</v>
      </c>
      <c r="K39" s="2360" t="s">
        <v>24</v>
      </c>
      <c r="L39" s="2420" t="s">
        <v>465</v>
      </c>
      <c r="M39" s="2369" t="s">
        <v>24</v>
      </c>
      <c r="N39" s="2370" t="s">
        <v>24</v>
      </c>
      <c r="O39" s="2371" t="s">
        <v>465</v>
      </c>
      <c r="P39" s="2372" t="s">
        <v>24</v>
      </c>
      <c r="Q39" s="2370" t="s">
        <v>24</v>
      </c>
      <c r="R39" s="2373" t="s">
        <v>465</v>
      </c>
      <c r="S39" s="2372" t="s">
        <v>24</v>
      </c>
      <c r="T39" s="2374" t="s">
        <v>24</v>
      </c>
      <c r="U39" s="2373" t="s">
        <v>465</v>
      </c>
      <c r="V39" s="2372" t="s">
        <v>24</v>
      </c>
      <c r="W39" s="2374" t="s">
        <v>24</v>
      </c>
      <c r="X39" s="2373" t="s">
        <v>465</v>
      </c>
      <c r="Y39" s="6"/>
    </row>
    <row r="40" spans="2:25" ht="46.5" customHeight="1">
      <c r="B40" s="3635"/>
      <c r="C40" s="2410" t="s">
        <v>466</v>
      </c>
      <c r="D40" s="2280" t="s">
        <v>252</v>
      </c>
      <c r="E40" s="2280" t="s">
        <v>252</v>
      </c>
      <c r="F40" s="2280" t="s">
        <v>252</v>
      </c>
      <c r="G40" s="2280" t="s">
        <v>252</v>
      </c>
      <c r="H40" s="2360" t="s">
        <v>252</v>
      </c>
      <c r="I40" s="2361" t="s">
        <v>252</v>
      </c>
      <c r="J40" s="2279" t="s">
        <v>24</v>
      </c>
      <c r="K40" s="2360" t="s">
        <v>467</v>
      </c>
      <c r="L40" s="2361" t="s">
        <v>468</v>
      </c>
      <c r="M40" s="2369" t="s">
        <v>24</v>
      </c>
      <c r="N40" s="2370" t="s">
        <v>467</v>
      </c>
      <c r="O40" s="2371" t="s">
        <v>468</v>
      </c>
      <c r="P40" s="2372" t="s">
        <v>24</v>
      </c>
      <c r="Q40" s="2370" t="s">
        <v>467</v>
      </c>
      <c r="R40" s="2373" t="s">
        <v>468</v>
      </c>
      <c r="S40" s="2372" t="s">
        <v>24</v>
      </c>
      <c r="T40" s="2374" t="s">
        <v>469</v>
      </c>
      <c r="U40" s="2373" t="s">
        <v>470</v>
      </c>
      <c r="V40" s="2372" t="s">
        <v>24</v>
      </c>
      <c r="W40" s="2374" t="s">
        <v>469</v>
      </c>
      <c r="X40" s="2373" t="s">
        <v>470</v>
      </c>
      <c r="Y40" s="6"/>
    </row>
    <row r="41" spans="2:25" ht="93" customHeight="1">
      <c r="B41" s="3635"/>
      <c r="C41" s="2421" t="s">
        <v>471</v>
      </c>
      <c r="D41" s="2378" t="s">
        <v>252</v>
      </c>
      <c r="E41" s="2378" t="s">
        <v>252</v>
      </c>
      <c r="F41" s="2378" t="s">
        <v>252</v>
      </c>
      <c r="G41" s="2378" t="s">
        <v>252</v>
      </c>
      <c r="H41" s="2379" t="s">
        <v>252</v>
      </c>
      <c r="I41" s="2420" t="s">
        <v>252</v>
      </c>
      <c r="J41" s="2381" t="s">
        <v>24</v>
      </c>
      <c r="K41" s="2379" t="s">
        <v>472</v>
      </c>
      <c r="L41" s="2380" t="s">
        <v>473</v>
      </c>
      <c r="M41" s="2382" t="s">
        <v>24</v>
      </c>
      <c r="N41" s="2383" t="s">
        <v>472</v>
      </c>
      <c r="O41" s="2384" t="s">
        <v>473</v>
      </c>
      <c r="P41" s="2385" t="s">
        <v>24</v>
      </c>
      <c r="Q41" s="2383" t="s">
        <v>472</v>
      </c>
      <c r="R41" s="2386" t="s">
        <v>473</v>
      </c>
      <c r="S41" s="2385" t="s">
        <v>24</v>
      </c>
      <c r="T41" s="2412" t="s">
        <v>472</v>
      </c>
      <c r="U41" s="2386" t="s">
        <v>473</v>
      </c>
      <c r="V41" s="2385" t="s">
        <v>24</v>
      </c>
      <c r="W41" s="2412" t="s">
        <v>472</v>
      </c>
      <c r="X41" s="2386" t="s">
        <v>473</v>
      </c>
      <c r="Y41" s="6"/>
    </row>
    <row r="42" spans="2:25" ht="36.75" customHeight="1" thickBot="1">
      <c r="B42" s="3635"/>
      <c r="C42" s="2388" t="s">
        <v>474</v>
      </c>
      <c r="D42" s="2389"/>
      <c r="E42" s="2390"/>
      <c r="F42" s="2390"/>
      <c r="G42" s="2390"/>
      <c r="H42" s="2391"/>
      <c r="I42" s="2392"/>
      <c r="J42" s="2389"/>
      <c r="K42" s="2391"/>
      <c r="L42" s="2391"/>
      <c r="M42" s="2358"/>
      <c r="N42" s="2354"/>
      <c r="O42" s="2356"/>
      <c r="P42" s="2357"/>
      <c r="Q42" s="2393"/>
      <c r="R42" s="2394"/>
      <c r="S42" s="2358"/>
      <c r="T42" s="2356"/>
      <c r="U42" s="2355"/>
      <c r="V42" s="2358"/>
      <c r="W42" s="2356"/>
      <c r="X42" s="2355"/>
      <c r="Y42" s="6"/>
    </row>
    <row r="43" spans="2:25" ht="52.9">
      <c r="B43" s="3635"/>
      <c r="C43" s="2395" t="s">
        <v>475</v>
      </c>
      <c r="D43" s="2396" t="s">
        <v>252</v>
      </c>
      <c r="E43" s="2396" t="s">
        <v>252</v>
      </c>
      <c r="F43" s="2396" t="s">
        <v>252</v>
      </c>
      <c r="G43" s="2396" t="s">
        <v>252</v>
      </c>
      <c r="H43" s="2397" t="s">
        <v>252</v>
      </c>
      <c r="I43" s="2419" t="s">
        <v>252</v>
      </c>
      <c r="J43" s="2399" t="s">
        <v>476</v>
      </c>
      <c r="K43" s="2397" t="s">
        <v>476</v>
      </c>
      <c r="L43" s="2419" t="s">
        <v>476</v>
      </c>
      <c r="M43" s="2400" t="s">
        <v>476</v>
      </c>
      <c r="N43" s="2406" t="s">
        <v>476</v>
      </c>
      <c r="O43" s="2402" t="s">
        <v>476</v>
      </c>
      <c r="P43" s="2403" t="s">
        <v>476</v>
      </c>
      <c r="Q43" s="2401" t="s">
        <v>476</v>
      </c>
      <c r="R43" s="2404" t="s">
        <v>476</v>
      </c>
      <c r="S43" s="2403" t="s">
        <v>476</v>
      </c>
      <c r="T43" s="2406" t="s">
        <v>476</v>
      </c>
      <c r="U43" s="2404" t="s">
        <v>476</v>
      </c>
      <c r="V43" s="2403" t="s">
        <v>476</v>
      </c>
      <c r="W43" s="2406" t="s">
        <v>476</v>
      </c>
      <c r="X43" s="2404" t="s">
        <v>476</v>
      </c>
      <c r="Y43" s="6"/>
    </row>
    <row r="44" spans="2:25" ht="15.4" customHeight="1">
      <c r="B44" s="3635"/>
      <c r="C44" s="2422" t="s">
        <v>477</v>
      </c>
      <c r="D44" s="2280" t="s">
        <v>252</v>
      </c>
      <c r="E44" s="2280" t="s">
        <v>252</v>
      </c>
      <c r="F44" s="2280" t="s">
        <v>252</v>
      </c>
      <c r="G44" s="2280" t="s">
        <v>252</v>
      </c>
      <c r="H44" s="2360" t="s">
        <v>252</v>
      </c>
      <c r="I44" s="2361" t="s">
        <v>252</v>
      </c>
      <c r="J44" s="2279" t="s">
        <v>476</v>
      </c>
      <c r="K44" s="2360" t="s">
        <v>476</v>
      </c>
      <c r="L44" s="2361" t="s">
        <v>476</v>
      </c>
      <c r="M44" s="2369" t="s">
        <v>476</v>
      </c>
      <c r="N44" s="2370" t="s">
        <v>476</v>
      </c>
      <c r="O44" s="2371" t="s">
        <v>476</v>
      </c>
      <c r="P44" s="2372" t="s">
        <v>476</v>
      </c>
      <c r="Q44" s="2374" t="s">
        <v>476</v>
      </c>
      <c r="R44" s="2373" t="s">
        <v>476</v>
      </c>
      <c r="S44" s="2372" t="s">
        <v>476</v>
      </c>
      <c r="T44" s="2370" t="s">
        <v>476</v>
      </c>
      <c r="U44" s="2373" t="s">
        <v>476</v>
      </c>
      <c r="V44" s="2372" t="s">
        <v>476</v>
      </c>
      <c r="W44" s="2370" t="s">
        <v>476</v>
      </c>
      <c r="X44" s="2373" t="s">
        <v>476</v>
      </c>
      <c r="Y44" s="6"/>
    </row>
    <row r="45" spans="2:25" ht="15.4" customHeight="1">
      <c r="B45" s="3635"/>
      <c r="C45" s="2422" t="s">
        <v>478</v>
      </c>
      <c r="D45" s="2280" t="s">
        <v>252</v>
      </c>
      <c r="E45" s="2280" t="s">
        <v>252</v>
      </c>
      <c r="F45" s="2280" t="s">
        <v>252</v>
      </c>
      <c r="G45" s="2280" t="s">
        <v>252</v>
      </c>
      <c r="H45" s="2360" t="s">
        <v>252</v>
      </c>
      <c r="I45" s="2361" t="s">
        <v>252</v>
      </c>
      <c r="J45" s="2279" t="s">
        <v>476</v>
      </c>
      <c r="K45" s="2360" t="s">
        <v>476</v>
      </c>
      <c r="L45" s="2361" t="s">
        <v>476</v>
      </c>
      <c r="M45" s="2369" t="s">
        <v>476</v>
      </c>
      <c r="N45" s="2370" t="s">
        <v>476</v>
      </c>
      <c r="O45" s="2371" t="s">
        <v>476</v>
      </c>
      <c r="P45" s="2372" t="s">
        <v>476</v>
      </c>
      <c r="Q45" s="2374" t="s">
        <v>476</v>
      </c>
      <c r="R45" s="2373" t="s">
        <v>476</v>
      </c>
      <c r="S45" s="2372" t="s">
        <v>476</v>
      </c>
      <c r="T45" s="2370" t="s">
        <v>476</v>
      </c>
      <c r="U45" s="2373" t="s">
        <v>476</v>
      </c>
      <c r="V45" s="2372" t="s">
        <v>476</v>
      </c>
      <c r="W45" s="2370" t="s">
        <v>476</v>
      </c>
      <c r="X45" s="2373" t="s">
        <v>476</v>
      </c>
      <c r="Y45" s="6"/>
    </row>
    <row r="46" spans="2:25" ht="15.4" customHeight="1">
      <c r="B46" s="3635"/>
      <c r="C46" s="2422" t="s">
        <v>479</v>
      </c>
      <c r="D46" s="2280" t="s">
        <v>252</v>
      </c>
      <c r="E46" s="2280" t="s">
        <v>252</v>
      </c>
      <c r="F46" s="2280" t="s">
        <v>252</v>
      </c>
      <c r="G46" s="2280" t="s">
        <v>252</v>
      </c>
      <c r="H46" s="2360" t="s">
        <v>252</v>
      </c>
      <c r="I46" s="2361" t="s">
        <v>252</v>
      </c>
      <c r="J46" s="2279" t="s">
        <v>476</v>
      </c>
      <c r="K46" s="2360" t="s">
        <v>476</v>
      </c>
      <c r="L46" s="2361" t="s">
        <v>476</v>
      </c>
      <c r="M46" s="2369" t="s">
        <v>476</v>
      </c>
      <c r="N46" s="2370" t="s">
        <v>476</v>
      </c>
      <c r="O46" s="2371" t="s">
        <v>476</v>
      </c>
      <c r="P46" s="2372" t="s">
        <v>476</v>
      </c>
      <c r="Q46" s="2374" t="s">
        <v>476</v>
      </c>
      <c r="R46" s="2373" t="s">
        <v>476</v>
      </c>
      <c r="S46" s="2372" t="s">
        <v>476</v>
      </c>
      <c r="T46" s="2370" t="s">
        <v>476</v>
      </c>
      <c r="U46" s="2373" t="s">
        <v>476</v>
      </c>
      <c r="V46" s="2372" t="s">
        <v>476</v>
      </c>
      <c r="W46" s="2370" t="s">
        <v>476</v>
      </c>
      <c r="X46" s="2373" t="s">
        <v>476</v>
      </c>
      <c r="Y46" s="6"/>
    </row>
    <row r="47" spans="2:25" ht="14.65" customHeight="1">
      <c r="B47" s="3635"/>
      <c r="C47" s="2423" t="s">
        <v>480</v>
      </c>
      <c r="D47" s="2378" t="s">
        <v>252</v>
      </c>
      <c r="E47" s="2378" t="s">
        <v>252</v>
      </c>
      <c r="F47" s="2378" t="s">
        <v>252</v>
      </c>
      <c r="G47" s="2378" t="s">
        <v>252</v>
      </c>
      <c r="H47" s="2379" t="s">
        <v>252</v>
      </c>
      <c r="I47" s="2380" t="s">
        <v>252</v>
      </c>
      <c r="J47" s="2381" t="s">
        <v>476</v>
      </c>
      <c r="K47" s="2379" t="s">
        <v>476</v>
      </c>
      <c r="L47" s="2380" t="s">
        <v>476</v>
      </c>
      <c r="M47" s="2382" t="s">
        <v>476</v>
      </c>
      <c r="N47" s="2383" t="s">
        <v>476</v>
      </c>
      <c r="O47" s="2384" t="s">
        <v>476</v>
      </c>
      <c r="P47" s="2385" t="s">
        <v>476</v>
      </c>
      <c r="Q47" s="2384" t="s">
        <v>476</v>
      </c>
      <c r="R47" s="2424" t="s">
        <v>476</v>
      </c>
      <c r="S47" s="2385" t="s">
        <v>476</v>
      </c>
      <c r="T47" s="2383" t="s">
        <v>476</v>
      </c>
      <c r="U47" s="2386" t="s">
        <v>476</v>
      </c>
      <c r="V47" s="2385" t="s">
        <v>476</v>
      </c>
      <c r="W47" s="2383" t="s">
        <v>476</v>
      </c>
      <c r="X47" s="2386" t="s">
        <v>476</v>
      </c>
      <c r="Y47" s="6"/>
    </row>
    <row r="48" spans="2:25">
      <c r="B48" s="6"/>
      <c r="C48" s="6"/>
      <c r="D48" s="6"/>
      <c r="E48" s="6"/>
      <c r="F48" s="6"/>
      <c r="G48" s="6"/>
      <c r="H48" s="6"/>
      <c r="I48" s="6"/>
      <c r="J48" s="6"/>
      <c r="K48" s="6"/>
      <c r="L48" s="6"/>
      <c r="M48" s="6"/>
      <c r="N48" s="6"/>
      <c r="O48" s="6"/>
      <c r="P48" s="6"/>
      <c r="Q48" s="6"/>
      <c r="R48" s="6"/>
      <c r="S48" s="6"/>
      <c r="T48" s="6"/>
      <c r="U48" s="6"/>
      <c r="V48" s="6"/>
      <c r="W48" s="6"/>
      <c r="X48" s="6"/>
      <c r="Y48" s="6"/>
    </row>
  </sheetData>
  <mergeCells count="72">
    <mergeCell ref="V9:X9"/>
    <mergeCell ref="V10:X10"/>
    <mergeCell ref="V11:X11"/>
    <mergeCell ref="V12:X12"/>
    <mergeCell ref="V16:X16"/>
    <mergeCell ref="V4:X4"/>
    <mergeCell ref="V5:X5"/>
    <mergeCell ref="V6:X6"/>
    <mergeCell ref="V7:X7"/>
    <mergeCell ref="V8:X8"/>
    <mergeCell ref="M4:O4"/>
    <mergeCell ref="P4:R4"/>
    <mergeCell ref="P5:R5"/>
    <mergeCell ref="B1:C1"/>
    <mergeCell ref="G4:I4"/>
    <mergeCell ref="G5:I5"/>
    <mergeCell ref="D4:F4"/>
    <mergeCell ref="D5:F5"/>
    <mergeCell ref="G6:I6"/>
    <mergeCell ref="J5:L5"/>
    <mergeCell ref="J4:L4"/>
    <mergeCell ref="P9:R9"/>
    <mergeCell ref="P10:R10"/>
    <mergeCell ref="J8:L8"/>
    <mergeCell ref="J7:L7"/>
    <mergeCell ref="J6:L6"/>
    <mergeCell ref="J9:L9"/>
    <mergeCell ref="M9:O9"/>
    <mergeCell ref="M10:O10"/>
    <mergeCell ref="P7:R7"/>
    <mergeCell ref="P8:R8"/>
    <mergeCell ref="M5:O5"/>
    <mergeCell ref="M6:O6"/>
    <mergeCell ref="M7:O7"/>
    <mergeCell ref="D6:F6"/>
    <mergeCell ref="D7:F7"/>
    <mergeCell ref="D8:F8"/>
    <mergeCell ref="D10:F10"/>
    <mergeCell ref="D11:F11"/>
    <mergeCell ref="D9:F9"/>
    <mergeCell ref="D12:F12"/>
    <mergeCell ref="J16:L16"/>
    <mergeCell ref="D16:F16"/>
    <mergeCell ref="G16:I16"/>
    <mergeCell ref="B18:B47"/>
    <mergeCell ref="M8:O8"/>
    <mergeCell ref="M16:O16"/>
    <mergeCell ref="G10:I10"/>
    <mergeCell ref="G11:I11"/>
    <mergeCell ref="G7:I7"/>
    <mergeCell ref="G8:I8"/>
    <mergeCell ref="G12:I12"/>
    <mergeCell ref="J10:L10"/>
    <mergeCell ref="J11:L11"/>
    <mergeCell ref="J12:L12"/>
    <mergeCell ref="G9:I9"/>
    <mergeCell ref="M11:O11"/>
    <mergeCell ref="M12:O12"/>
    <mergeCell ref="S4:U4"/>
    <mergeCell ref="S5:U5"/>
    <mergeCell ref="S6:U6"/>
    <mergeCell ref="S7:U7"/>
    <mergeCell ref="S8:U8"/>
    <mergeCell ref="P11:R11"/>
    <mergeCell ref="P12:R12"/>
    <mergeCell ref="P16:R16"/>
    <mergeCell ref="P6:R6"/>
    <mergeCell ref="S16:U16"/>
    <mergeCell ref="S9:U9"/>
    <mergeCell ref="S10:U10"/>
    <mergeCell ref="S11:U11"/>
    <mergeCell ref="S12:U12"/>
  </mergeCells>
  <phoneticPr fontId="16" type="noConversion"/>
  <pageMargins left="0.7" right="0.7" top="0.75" bottom="0.75" header="0.3" footer="0.3"/>
  <pageSetup paperSize="9" fitToHeight="0" orientation="landscape" horizontalDpi="4294967293" r:id="rId1"/>
  <headerFooter>
    <oddHeader>&amp;L&amp;"Arial,Regular"&amp;9M.A.G CSR Data Reporting Spreadsheet
&amp;R&amp;G</oddHeader>
    <oddFooter>&amp;C&amp;"Arial,Regular"&amp;9
Produced by Simply Sustainable Ltd_x000D_&amp;1#&amp;"Calibri"&amp;10&amp;K000000 C2 - Internal</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62B95-B1DE-4540-8C26-3FB3C09DACA7}">
  <sheetPr>
    <tabColor theme="0"/>
  </sheetPr>
  <dimension ref="A1:DF64"/>
  <sheetViews>
    <sheetView showGridLines="0" topLeftCell="A5" zoomScaleNormal="100" workbookViewId="0">
      <pane xSplit="4" topLeftCell="AZ1" activePane="topRight" state="frozen"/>
      <selection pane="topRight" activeCell="BI25" sqref="BI25"/>
    </sheetView>
  </sheetViews>
  <sheetFormatPr defaultColWidth="8.85546875" defaultRowHeight="13.9"/>
  <cols>
    <col min="1" max="1" width="4" style="661" customWidth="1"/>
    <col min="2" max="2" width="10.140625" style="658" customWidth="1"/>
    <col min="3" max="3" width="35.85546875" style="49" customWidth="1"/>
    <col min="4" max="4" width="40.5703125" style="49" customWidth="1"/>
    <col min="5" max="6" width="14.7109375" style="49" customWidth="1"/>
    <col min="7" max="7" width="15.42578125" style="661" customWidth="1"/>
    <col min="8" max="8" width="15.140625" style="661" customWidth="1"/>
    <col min="9" max="9" width="15.7109375" style="661" customWidth="1"/>
    <col min="10" max="11" width="15.7109375" style="661" bestFit="1" customWidth="1"/>
    <col min="12" max="15" width="14.7109375" style="661" customWidth="1"/>
    <col min="16" max="25" width="13.7109375" style="661" customWidth="1"/>
    <col min="26" max="26" width="4.28515625" style="685" customWidth="1"/>
    <col min="27" max="47" width="13.7109375" style="661" customWidth="1"/>
    <col min="48" max="48" width="4.28515625" style="685" customWidth="1"/>
    <col min="49" max="52" width="13.7109375" style="661" customWidth="1"/>
    <col min="53" max="55" width="15.7109375" style="661" bestFit="1" customWidth="1"/>
    <col min="56" max="60" width="13.7109375" style="661" customWidth="1"/>
    <col min="61" max="61" width="13.85546875" style="661" customWidth="1"/>
    <col min="62" max="69" width="13.7109375" style="661" customWidth="1"/>
    <col min="70" max="70" width="4.28515625" style="685" customWidth="1"/>
    <col min="71" max="91" width="13.7109375" style="661" customWidth="1"/>
    <col min="92" max="109" width="0" style="661" hidden="1" customWidth="1"/>
    <col min="110" max="16384" width="8.85546875" style="661"/>
  </cols>
  <sheetData>
    <row r="1" spans="1:109" ht="17.45">
      <c r="B1" s="10" t="s">
        <v>481</v>
      </c>
      <c r="X1" s="1931"/>
      <c r="Y1" s="1931"/>
      <c r="Z1" s="1932"/>
      <c r="AA1" s="1931"/>
      <c r="AB1" s="1931"/>
      <c r="AC1" s="1931"/>
      <c r="AD1" s="1931"/>
      <c r="AV1" s="1932"/>
      <c r="BR1" s="1932"/>
    </row>
    <row r="2" spans="1:109" ht="14.45" thickBot="1">
      <c r="C2" s="1933"/>
    </row>
    <row r="3" spans="1:109" s="660" customFormat="1" ht="15" customHeight="1" thickBot="1">
      <c r="B3" s="658"/>
      <c r="C3" s="1934"/>
      <c r="D3" s="1934"/>
      <c r="E3" s="3666" t="s">
        <v>482</v>
      </c>
      <c r="F3" s="3667"/>
      <c r="G3" s="3667"/>
      <c r="H3" s="3667"/>
      <c r="I3" s="3667"/>
      <c r="J3" s="3667"/>
      <c r="K3" s="3667"/>
      <c r="L3" s="3667"/>
      <c r="M3" s="3667"/>
      <c r="N3" s="3667"/>
      <c r="O3" s="3667"/>
      <c r="P3" s="3667"/>
      <c r="Q3" s="3667"/>
      <c r="R3" s="3667"/>
      <c r="S3" s="3667"/>
      <c r="T3" s="3667"/>
      <c r="U3" s="3667"/>
      <c r="V3" s="3667"/>
      <c r="W3" s="3667"/>
      <c r="X3" s="3667"/>
      <c r="Y3" s="3668"/>
      <c r="Z3" s="1935"/>
      <c r="AA3" s="3666" t="s">
        <v>483</v>
      </c>
      <c r="AB3" s="3667"/>
      <c r="AC3" s="3667"/>
      <c r="AD3" s="3667"/>
      <c r="AE3" s="3667"/>
      <c r="AF3" s="3667"/>
      <c r="AG3" s="3667"/>
      <c r="AH3" s="3667"/>
      <c r="AI3" s="3667"/>
      <c r="AJ3" s="3667"/>
      <c r="AK3" s="3667"/>
      <c r="AL3" s="3667"/>
      <c r="AM3" s="3667"/>
      <c r="AN3" s="3667"/>
      <c r="AO3" s="3667"/>
      <c r="AP3" s="3667"/>
      <c r="AQ3" s="3667"/>
      <c r="AR3" s="3667"/>
      <c r="AS3" s="3667"/>
      <c r="AT3" s="3667"/>
      <c r="AU3" s="3668"/>
      <c r="AV3" s="1935"/>
      <c r="AW3" s="3669" t="s">
        <v>484</v>
      </c>
      <c r="AX3" s="3670"/>
      <c r="AY3" s="3670"/>
      <c r="AZ3" s="3670"/>
      <c r="BA3" s="3670"/>
      <c r="BB3" s="3670"/>
      <c r="BC3" s="3670"/>
      <c r="BD3" s="3670"/>
      <c r="BE3" s="3670"/>
      <c r="BF3" s="3670"/>
      <c r="BG3" s="3670"/>
      <c r="BH3" s="3670"/>
      <c r="BI3" s="3670"/>
      <c r="BJ3" s="3670"/>
      <c r="BK3" s="3670"/>
      <c r="BL3" s="3670"/>
      <c r="BM3" s="3670"/>
      <c r="BN3" s="3670"/>
      <c r="BO3" s="3670"/>
      <c r="BP3" s="3670"/>
      <c r="BQ3" s="3671"/>
      <c r="BR3" s="1935"/>
      <c r="BS3" s="3666" t="s">
        <v>485</v>
      </c>
      <c r="BT3" s="3667"/>
      <c r="BU3" s="3667"/>
      <c r="BV3" s="3667"/>
      <c r="BW3" s="3667"/>
      <c r="BX3" s="3667"/>
      <c r="BY3" s="3667"/>
      <c r="BZ3" s="3667"/>
      <c r="CA3" s="3667"/>
      <c r="CB3" s="3667"/>
      <c r="CC3" s="3667"/>
      <c r="CD3" s="3667"/>
      <c r="CE3" s="3667"/>
      <c r="CF3" s="3667"/>
      <c r="CG3" s="3667"/>
      <c r="CH3" s="3667"/>
      <c r="CI3" s="3667"/>
      <c r="CJ3" s="3667"/>
      <c r="CK3" s="3667"/>
      <c r="CL3" s="3667"/>
      <c r="CM3" s="3668"/>
      <c r="CN3" s="3663" t="s">
        <v>282</v>
      </c>
      <c r="CO3" s="3664" t="s">
        <v>485</v>
      </c>
      <c r="CP3" s="3664"/>
      <c r="CQ3" s="3664"/>
      <c r="CR3" s="3664"/>
      <c r="CS3" s="3664"/>
      <c r="CT3" s="3664"/>
      <c r="CU3" s="3664"/>
      <c r="CV3" s="3664"/>
      <c r="CW3" s="3664"/>
      <c r="CX3" s="3664"/>
      <c r="CY3" s="3664"/>
      <c r="CZ3" s="3664"/>
      <c r="DA3" s="3664"/>
      <c r="DB3" s="3664"/>
      <c r="DC3" s="3664"/>
      <c r="DD3" s="3664"/>
      <c r="DE3" s="3665"/>
    </row>
    <row r="4" spans="1:109" ht="30.75" customHeight="1" thickBot="1">
      <c r="A4" s="1936"/>
      <c r="B4" s="3677" t="s">
        <v>486</v>
      </c>
      <c r="C4" s="3679" t="s">
        <v>487</v>
      </c>
      <c r="D4" s="3679" t="s">
        <v>488</v>
      </c>
      <c r="E4" s="3681" t="s">
        <v>489</v>
      </c>
      <c r="F4" s="3682"/>
      <c r="G4" s="3682"/>
      <c r="H4" s="3682"/>
      <c r="I4" s="3682"/>
      <c r="J4" s="3682"/>
      <c r="K4" s="3689"/>
      <c r="L4" s="3690" t="s">
        <v>490</v>
      </c>
      <c r="M4" s="3691"/>
      <c r="N4" s="3691"/>
      <c r="O4" s="3691"/>
      <c r="P4" s="3691"/>
      <c r="Q4" s="3691"/>
      <c r="R4" s="3692"/>
      <c r="S4" s="3690" t="s">
        <v>491</v>
      </c>
      <c r="T4" s="3691"/>
      <c r="U4" s="3691"/>
      <c r="V4" s="3691"/>
      <c r="W4" s="3691"/>
      <c r="X4" s="3691"/>
      <c r="Y4" s="3692"/>
      <c r="Z4" s="1938"/>
      <c r="AA4" s="3681" t="s">
        <v>489</v>
      </c>
      <c r="AB4" s="3682"/>
      <c r="AC4" s="3682"/>
      <c r="AD4" s="3682"/>
      <c r="AE4" s="3682"/>
      <c r="AF4" s="3682"/>
      <c r="AG4" s="3689"/>
      <c r="AH4" s="3690" t="s">
        <v>490</v>
      </c>
      <c r="AI4" s="3691"/>
      <c r="AJ4" s="3691"/>
      <c r="AK4" s="3691"/>
      <c r="AL4" s="3691"/>
      <c r="AM4" s="3691"/>
      <c r="AN4" s="3692"/>
      <c r="AO4" s="3690" t="s">
        <v>491</v>
      </c>
      <c r="AP4" s="3691"/>
      <c r="AQ4" s="3691"/>
      <c r="AR4" s="3691"/>
      <c r="AS4" s="3691"/>
      <c r="AT4" s="3691"/>
      <c r="AU4" s="3692"/>
      <c r="AV4" s="1938"/>
      <c r="AW4" s="3681" t="s">
        <v>489</v>
      </c>
      <c r="AX4" s="3682"/>
      <c r="AY4" s="3682"/>
      <c r="AZ4" s="3682"/>
      <c r="BA4" s="3682"/>
      <c r="BB4" s="3682"/>
      <c r="BC4" s="3689"/>
      <c r="BD4" s="3690" t="s">
        <v>490</v>
      </c>
      <c r="BE4" s="3691"/>
      <c r="BF4" s="3691"/>
      <c r="BG4" s="3691"/>
      <c r="BH4" s="3691"/>
      <c r="BI4" s="3691"/>
      <c r="BJ4" s="3692"/>
      <c r="BK4" s="3690" t="s">
        <v>491</v>
      </c>
      <c r="BL4" s="3691"/>
      <c r="BM4" s="3691"/>
      <c r="BN4" s="3691"/>
      <c r="BO4" s="3691"/>
      <c r="BP4" s="3691"/>
      <c r="BQ4" s="3692"/>
      <c r="BR4" s="1938"/>
      <c r="BS4" s="3681" t="s">
        <v>489</v>
      </c>
      <c r="BT4" s="3682"/>
      <c r="BU4" s="3682"/>
      <c r="BV4" s="3682"/>
      <c r="BW4" s="3682"/>
      <c r="BX4" s="3682"/>
      <c r="BY4" s="3689"/>
      <c r="BZ4" s="3690" t="s">
        <v>490</v>
      </c>
      <c r="CA4" s="3691"/>
      <c r="CB4" s="3691"/>
      <c r="CC4" s="3691"/>
      <c r="CD4" s="3691"/>
      <c r="CE4" s="3691"/>
      <c r="CF4" s="3692"/>
      <c r="CG4" s="3690" t="s">
        <v>491</v>
      </c>
      <c r="CH4" s="3691"/>
      <c r="CI4" s="3691"/>
      <c r="CJ4" s="3691"/>
      <c r="CK4" s="3691"/>
      <c r="CL4" s="3691"/>
      <c r="CM4" s="3692"/>
      <c r="CN4" s="3681" t="s">
        <v>489</v>
      </c>
      <c r="CO4" s="3682"/>
      <c r="CP4" s="3682"/>
      <c r="CQ4" s="3682"/>
      <c r="CR4" s="3682"/>
      <c r="CS4" s="3689"/>
      <c r="CT4" s="3681" t="s">
        <v>492</v>
      </c>
      <c r="CU4" s="3682"/>
      <c r="CV4" s="3682"/>
      <c r="CW4" s="3682"/>
      <c r="CX4" s="3682"/>
      <c r="CY4" s="3689"/>
      <c r="CZ4" s="3681" t="s">
        <v>493</v>
      </c>
      <c r="DA4" s="3682"/>
      <c r="DB4" s="3682"/>
      <c r="DC4" s="3682"/>
      <c r="DD4" s="3682"/>
      <c r="DE4" s="3683"/>
    </row>
    <row r="5" spans="1:109" ht="27" thickBot="1">
      <c r="A5" s="1936"/>
      <c r="B5" s="3678"/>
      <c r="C5" s="3680"/>
      <c r="D5" s="3680"/>
      <c r="E5" s="980" t="s">
        <v>164</v>
      </c>
      <c r="F5" s="980" t="s">
        <v>163</v>
      </c>
      <c r="G5" s="981" t="s">
        <v>16</v>
      </c>
      <c r="H5" s="980" t="s">
        <v>15</v>
      </c>
      <c r="I5" s="980" t="s">
        <v>14</v>
      </c>
      <c r="J5" s="980" t="s">
        <v>13</v>
      </c>
      <c r="K5" s="983" t="s">
        <v>12</v>
      </c>
      <c r="L5" s="980" t="s">
        <v>164</v>
      </c>
      <c r="M5" s="982" t="s">
        <v>163</v>
      </c>
      <c r="N5" s="1939" t="s">
        <v>16</v>
      </c>
      <c r="O5" s="982" t="s">
        <v>15</v>
      </c>
      <c r="P5" s="982" t="s">
        <v>14</v>
      </c>
      <c r="Q5" s="982" t="s">
        <v>13</v>
      </c>
      <c r="R5" s="1940" t="s">
        <v>12</v>
      </c>
      <c r="S5" s="980" t="s">
        <v>164</v>
      </c>
      <c r="T5" s="982" t="s">
        <v>163</v>
      </c>
      <c r="U5" s="1939" t="s">
        <v>16</v>
      </c>
      <c r="V5" s="982" t="s">
        <v>15</v>
      </c>
      <c r="W5" s="982" t="s">
        <v>14</v>
      </c>
      <c r="X5" s="982" t="s">
        <v>13</v>
      </c>
      <c r="Y5" s="1940" t="s">
        <v>12</v>
      </c>
      <c r="Z5" s="1938"/>
      <c r="AA5" s="980" t="s">
        <v>164</v>
      </c>
      <c r="AB5" s="980" t="s">
        <v>163</v>
      </c>
      <c r="AC5" s="981" t="s">
        <v>16</v>
      </c>
      <c r="AD5" s="980" t="s">
        <v>15</v>
      </c>
      <c r="AE5" s="980" t="s">
        <v>14</v>
      </c>
      <c r="AF5" s="980" t="s">
        <v>13</v>
      </c>
      <c r="AG5" s="983" t="s">
        <v>12</v>
      </c>
      <c r="AH5" s="2043" t="s">
        <v>164</v>
      </c>
      <c r="AI5" s="982" t="s">
        <v>163</v>
      </c>
      <c r="AJ5" s="1939" t="s">
        <v>16</v>
      </c>
      <c r="AK5" s="982" t="s">
        <v>15</v>
      </c>
      <c r="AL5" s="982" t="s">
        <v>14</v>
      </c>
      <c r="AM5" s="982" t="s">
        <v>13</v>
      </c>
      <c r="AN5" s="1940" t="s">
        <v>12</v>
      </c>
      <c r="AO5" s="2045" t="s">
        <v>164</v>
      </c>
      <c r="AP5" s="982" t="s">
        <v>163</v>
      </c>
      <c r="AQ5" s="1939" t="s">
        <v>16</v>
      </c>
      <c r="AR5" s="982" t="s">
        <v>15</v>
      </c>
      <c r="AS5" s="982" t="s">
        <v>14</v>
      </c>
      <c r="AT5" s="982" t="s">
        <v>13</v>
      </c>
      <c r="AU5" s="1940" t="s">
        <v>12</v>
      </c>
      <c r="AV5" s="1938"/>
      <c r="AW5" s="980" t="s">
        <v>164</v>
      </c>
      <c r="AX5" s="980" t="s">
        <v>163</v>
      </c>
      <c r="AY5" s="981" t="s">
        <v>16</v>
      </c>
      <c r="AZ5" s="980" t="s">
        <v>15</v>
      </c>
      <c r="BA5" s="980" t="s">
        <v>14</v>
      </c>
      <c r="BB5" s="980" t="s">
        <v>13</v>
      </c>
      <c r="BC5" s="983" t="s">
        <v>12</v>
      </c>
      <c r="BD5" s="2043" t="s">
        <v>164</v>
      </c>
      <c r="BE5" s="982" t="s">
        <v>163</v>
      </c>
      <c r="BF5" s="1939" t="s">
        <v>16</v>
      </c>
      <c r="BG5" s="982" t="s">
        <v>15</v>
      </c>
      <c r="BH5" s="982" t="s">
        <v>14</v>
      </c>
      <c r="BI5" s="982" t="s">
        <v>13</v>
      </c>
      <c r="BJ5" s="1940" t="s">
        <v>12</v>
      </c>
      <c r="BK5" s="2051" t="s">
        <v>164</v>
      </c>
      <c r="BL5" s="1939" t="s">
        <v>163</v>
      </c>
      <c r="BM5" s="1939" t="s">
        <v>16</v>
      </c>
      <c r="BN5" s="982" t="s">
        <v>15</v>
      </c>
      <c r="BO5" s="982" t="s">
        <v>14</v>
      </c>
      <c r="BP5" s="982" t="s">
        <v>13</v>
      </c>
      <c r="BQ5" s="1940" t="s">
        <v>12</v>
      </c>
      <c r="BR5" s="1938"/>
      <c r="BS5" s="980" t="s">
        <v>164</v>
      </c>
      <c r="BT5" s="980" t="s">
        <v>163</v>
      </c>
      <c r="BU5" s="981" t="s">
        <v>16</v>
      </c>
      <c r="BV5" s="980" t="s">
        <v>15</v>
      </c>
      <c r="BW5" s="980" t="s">
        <v>14</v>
      </c>
      <c r="BX5" s="980" t="s">
        <v>13</v>
      </c>
      <c r="BY5" s="983" t="s">
        <v>12</v>
      </c>
      <c r="BZ5" s="2043" t="s">
        <v>164</v>
      </c>
      <c r="CA5" s="982" t="s">
        <v>163</v>
      </c>
      <c r="CB5" s="1939" t="s">
        <v>16</v>
      </c>
      <c r="CC5" s="982" t="s">
        <v>15</v>
      </c>
      <c r="CD5" s="982" t="s">
        <v>14</v>
      </c>
      <c r="CE5" s="982" t="s">
        <v>13</v>
      </c>
      <c r="CF5" s="1940" t="s">
        <v>12</v>
      </c>
      <c r="CG5" s="2045" t="s">
        <v>164</v>
      </c>
      <c r="CH5" s="982" t="s">
        <v>163</v>
      </c>
      <c r="CI5" s="1939" t="s">
        <v>16</v>
      </c>
      <c r="CJ5" s="982" t="s">
        <v>15</v>
      </c>
      <c r="CK5" s="982" t="s">
        <v>14</v>
      </c>
      <c r="CL5" s="982" t="s">
        <v>13</v>
      </c>
      <c r="CM5" s="1940" t="s">
        <v>12</v>
      </c>
      <c r="CN5" s="981" t="s">
        <v>163</v>
      </c>
      <c r="CO5" s="981" t="s">
        <v>16</v>
      </c>
      <c r="CP5" s="980" t="s">
        <v>15</v>
      </c>
      <c r="CQ5" s="982" t="s">
        <v>14</v>
      </c>
      <c r="CR5" s="980" t="s">
        <v>13</v>
      </c>
      <c r="CS5" s="983" t="s">
        <v>12</v>
      </c>
      <c r="CT5" s="980" t="s">
        <v>163</v>
      </c>
      <c r="CU5" s="981" t="s">
        <v>16</v>
      </c>
      <c r="CV5" s="980" t="s">
        <v>15</v>
      </c>
      <c r="CW5" s="982" t="s">
        <v>14</v>
      </c>
      <c r="CX5" s="980" t="s">
        <v>13</v>
      </c>
      <c r="CY5" s="983" t="s">
        <v>12</v>
      </c>
      <c r="CZ5" s="980" t="s">
        <v>163</v>
      </c>
      <c r="DA5" s="981" t="s">
        <v>16</v>
      </c>
      <c r="DB5" s="980" t="s">
        <v>15</v>
      </c>
      <c r="DC5" s="982" t="s">
        <v>14</v>
      </c>
      <c r="DD5" s="980" t="s">
        <v>13</v>
      </c>
      <c r="DE5" s="1004" t="s">
        <v>12</v>
      </c>
    </row>
    <row r="6" spans="1:109">
      <c r="A6" s="1936"/>
      <c r="B6" s="3672">
        <v>1</v>
      </c>
      <c r="C6" s="3684" t="s">
        <v>494</v>
      </c>
      <c r="D6" s="1942" t="s">
        <v>495</v>
      </c>
      <c r="E6" s="488">
        <v>57426177</v>
      </c>
      <c r="F6" s="488">
        <v>55444262</v>
      </c>
      <c r="G6" s="488">
        <v>62627250</v>
      </c>
      <c r="H6" s="488">
        <v>62874294</v>
      </c>
      <c r="I6" s="488">
        <v>64495590</v>
      </c>
      <c r="J6" s="1943">
        <v>53876464.376955606</v>
      </c>
      <c r="K6" s="1944">
        <v>53009416.7157159</v>
      </c>
      <c r="L6" s="488">
        <v>10521</v>
      </c>
      <c r="M6" s="488">
        <v>9877</v>
      </c>
      <c r="N6" s="488">
        <v>11463</v>
      </c>
      <c r="O6" s="488">
        <v>11524</v>
      </c>
      <c r="P6" s="488">
        <v>11905.168491683376</v>
      </c>
      <c r="Q6" s="1945">
        <v>9806.0229149022834</v>
      </c>
      <c r="R6" s="1946">
        <v>9751.6122990231052</v>
      </c>
      <c r="S6" s="488">
        <v>6213</v>
      </c>
      <c r="T6" s="488">
        <f>SUM(9877-T27)</f>
        <v>7528</v>
      </c>
      <c r="U6" s="488">
        <v>11463</v>
      </c>
      <c r="V6" s="488">
        <v>11524</v>
      </c>
      <c r="W6" s="488">
        <v>11905.168491683376</v>
      </c>
      <c r="X6" s="1945">
        <v>9806.0229149022834</v>
      </c>
      <c r="Y6" s="1946">
        <v>9751.6122990231052</v>
      </c>
      <c r="Z6" s="1947"/>
      <c r="AA6" s="488">
        <v>6010744</v>
      </c>
      <c r="AB6" s="488">
        <v>5392521</v>
      </c>
      <c r="AC6" s="488">
        <v>6097028</v>
      </c>
      <c r="AD6" s="488">
        <v>6127736</v>
      </c>
      <c r="AE6" s="488">
        <v>6108487</v>
      </c>
      <c r="AF6" s="1943">
        <v>6307879</v>
      </c>
      <c r="AG6" s="1944">
        <v>5683487</v>
      </c>
      <c r="AH6" s="3142">
        <v>1099</v>
      </c>
      <c r="AI6" s="488">
        <v>986</v>
      </c>
      <c r="AJ6" s="488">
        <v>1113</v>
      </c>
      <c r="AK6" s="488">
        <v>1122</v>
      </c>
      <c r="AL6" s="488">
        <v>1127.3212758499999</v>
      </c>
      <c r="AM6" s="1945">
        <v>1159.7035541499999</v>
      </c>
      <c r="AN6" s="1946">
        <v>1045.5342685200003</v>
      </c>
      <c r="AO6" s="3137">
        <f>AH6-AO27</f>
        <v>923</v>
      </c>
      <c r="AP6" s="488">
        <v>986</v>
      </c>
      <c r="AQ6" s="488">
        <v>1113</v>
      </c>
      <c r="AR6" s="488">
        <v>1122</v>
      </c>
      <c r="AS6" s="488">
        <v>1127.3212758499999</v>
      </c>
      <c r="AT6" s="1945">
        <v>1159.7035541499999</v>
      </c>
      <c r="AU6" s="1946">
        <v>1045.5342685200003</v>
      </c>
      <c r="AV6" s="1947"/>
      <c r="AW6" s="488">
        <v>40884131</v>
      </c>
      <c r="AX6" s="488">
        <v>38519649</v>
      </c>
      <c r="AY6" s="488">
        <v>45386153</v>
      </c>
      <c r="AZ6" s="488">
        <v>44317073</v>
      </c>
      <c r="BA6" s="488">
        <v>41310983</v>
      </c>
      <c r="BB6" s="1943">
        <v>32809259.026046511</v>
      </c>
      <c r="BC6" s="1944">
        <v>33971291.981170483</v>
      </c>
      <c r="BD6" s="488">
        <v>7478</v>
      </c>
      <c r="BE6" s="488">
        <v>7046</v>
      </c>
      <c r="BF6" s="488">
        <v>8299</v>
      </c>
      <c r="BG6" s="488">
        <v>8117</v>
      </c>
      <c r="BH6" s="488">
        <v>7623.9419797675546</v>
      </c>
      <c r="BI6" s="1945">
        <v>6031.9822719386511</v>
      </c>
      <c r="BJ6" s="1946">
        <v>6249.3588728561226</v>
      </c>
      <c r="BK6" s="490">
        <v>3346</v>
      </c>
      <c r="BL6" s="490">
        <f>7046-BL27</f>
        <v>5111</v>
      </c>
      <c r="BM6" s="488">
        <v>8299</v>
      </c>
      <c r="BN6" s="488">
        <v>8117</v>
      </c>
      <c r="BO6" s="488">
        <v>7623.9419797675546</v>
      </c>
      <c r="BP6" s="1945">
        <v>6031.9822719386511</v>
      </c>
      <c r="BQ6" s="1946">
        <v>6249.3588728561226</v>
      </c>
      <c r="BR6" s="1947"/>
      <c r="BS6" s="488">
        <v>10531302</v>
      </c>
      <c r="BT6" s="488">
        <v>11532091</v>
      </c>
      <c r="BU6" s="488">
        <v>11144068</v>
      </c>
      <c r="BV6" s="488">
        <v>12429484</v>
      </c>
      <c r="BW6" s="488">
        <v>17074310</v>
      </c>
      <c r="BX6" s="1943">
        <v>14732133.260000002</v>
      </c>
      <c r="BY6" s="1944">
        <v>13354637.734545501</v>
      </c>
      <c r="BZ6" s="3142">
        <v>1944</v>
      </c>
      <c r="CA6" s="488">
        <v>1844</v>
      </c>
      <c r="CB6" s="488">
        <v>2051</v>
      </c>
      <c r="CC6" s="488">
        <v>2285</v>
      </c>
      <c r="CD6" s="488">
        <v>3153.5713298333326</v>
      </c>
      <c r="CE6" s="1945">
        <v>2609.3376390500002</v>
      </c>
      <c r="CF6" s="1946">
        <v>2456.7191576469822</v>
      </c>
      <c r="CG6" s="3151">
        <v>1944</v>
      </c>
      <c r="CH6" s="488">
        <f>1844-CH27</f>
        <v>1430</v>
      </c>
      <c r="CI6" s="488">
        <v>2051</v>
      </c>
      <c r="CJ6" s="488">
        <v>2285</v>
      </c>
      <c r="CK6" s="488">
        <v>3153.5713298333326</v>
      </c>
      <c r="CL6" s="1945">
        <v>2609.3376390500002</v>
      </c>
      <c r="CM6" s="1946">
        <v>2456.7191576469822</v>
      </c>
      <c r="CN6" s="490"/>
      <c r="CO6" s="488"/>
      <c r="CP6" s="488"/>
      <c r="CQ6" s="488"/>
      <c r="CR6" s="984"/>
      <c r="CS6" s="993"/>
      <c r="CT6" s="490"/>
      <c r="CU6" s="488"/>
      <c r="CV6" s="488"/>
      <c r="CW6" s="488"/>
      <c r="CX6" s="984"/>
      <c r="CY6" s="993"/>
      <c r="CZ6" s="490"/>
      <c r="DA6" s="488"/>
      <c r="DB6" s="488"/>
      <c r="DC6" s="488"/>
      <c r="DD6" s="984" t="s">
        <v>132</v>
      </c>
      <c r="DE6" s="1005"/>
    </row>
    <row r="7" spans="1:109">
      <c r="A7" s="1936"/>
      <c r="B7" s="3673"/>
      <c r="C7" s="3685"/>
      <c r="D7" s="1948" t="s">
        <v>496</v>
      </c>
      <c r="E7" s="57">
        <v>257750</v>
      </c>
      <c r="F7" s="57">
        <v>343988</v>
      </c>
      <c r="G7" s="662">
        <v>278379</v>
      </c>
      <c r="H7" s="57">
        <v>282806</v>
      </c>
      <c r="I7" s="57">
        <v>140416</v>
      </c>
      <c r="J7" s="142">
        <v>124916.81027649553</v>
      </c>
      <c r="K7" s="1949">
        <v>336832.2719261435</v>
      </c>
      <c r="L7" s="57">
        <v>59</v>
      </c>
      <c r="M7" s="57">
        <v>79</v>
      </c>
      <c r="N7" s="663">
        <v>64</v>
      </c>
      <c r="O7" s="57">
        <v>61</v>
      </c>
      <c r="P7" s="57">
        <v>30.115073939999991</v>
      </c>
      <c r="Q7" s="678">
        <v>26.790908299999995</v>
      </c>
      <c r="R7" s="1954">
        <v>72.240417359999995</v>
      </c>
      <c r="S7" s="57">
        <v>59</v>
      </c>
      <c r="T7" s="57">
        <v>79</v>
      </c>
      <c r="U7" s="663">
        <v>64</v>
      </c>
      <c r="V7" s="57">
        <v>61</v>
      </c>
      <c r="W7" s="57">
        <v>30.115073939999991</v>
      </c>
      <c r="X7" s="678">
        <v>26.790908299999995</v>
      </c>
      <c r="Y7" s="1954">
        <v>72.240417359999995</v>
      </c>
      <c r="Z7" s="1947"/>
      <c r="AA7" s="57">
        <v>23799</v>
      </c>
      <c r="AB7" s="57">
        <v>24881</v>
      </c>
      <c r="AC7" s="662">
        <v>19471</v>
      </c>
      <c r="AD7" s="57">
        <v>19167</v>
      </c>
      <c r="AE7" s="57">
        <v>36550.868652958452</v>
      </c>
      <c r="AF7" s="142">
        <v>37484.627220590293</v>
      </c>
      <c r="AG7" s="1949">
        <v>58929.357019629795</v>
      </c>
      <c r="AH7" s="3143">
        <v>5</v>
      </c>
      <c r="AI7" s="57">
        <v>6</v>
      </c>
      <c r="AJ7" s="663">
        <v>4</v>
      </c>
      <c r="AK7" s="57">
        <v>4</v>
      </c>
      <c r="AL7" s="57">
        <v>7.8390647999999992</v>
      </c>
      <c r="AM7" s="678">
        <v>8.0393279999999994</v>
      </c>
      <c r="AN7" s="1954">
        <v>12.638579200000002</v>
      </c>
      <c r="AO7" s="1958">
        <v>5</v>
      </c>
      <c r="AP7" s="57">
        <v>6</v>
      </c>
      <c r="AQ7" s="663">
        <v>4</v>
      </c>
      <c r="AR7" s="57">
        <v>4</v>
      </c>
      <c r="AS7" s="57">
        <v>7.8390647999999992</v>
      </c>
      <c r="AT7" s="678">
        <v>8.0393279999999994</v>
      </c>
      <c r="AU7" s="1954">
        <v>12.638579200000002</v>
      </c>
      <c r="AV7" s="1947"/>
      <c r="AW7" s="57">
        <v>222302</v>
      </c>
      <c r="AX7" s="57">
        <v>215569</v>
      </c>
      <c r="AY7" s="662">
        <v>144459</v>
      </c>
      <c r="AZ7" s="57">
        <v>229487</v>
      </c>
      <c r="BA7" s="57">
        <v>58837</v>
      </c>
      <c r="BB7" s="142">
        <v>62105.211917750727</v>
      </c>
      <c r="BC7" s="1949">
        <v>265769.98358744819</v>
      </c>
      <c r="BD7" s="57">
        <v>51</v>
      </c>
      <c r="BE7" s="57">
        <v>50</v>
      </c>
      <c r="BF7" s="663">
        <v>33</v>
      </c>
      <c r="BG7" s="57">
        <v>49</v>
      </c>
      <c r="BH7" s="57">
        <v>12.618716809999999</v>
      </c>
      <c r="BI7" s="678">
        <v>13.319704799999998</v>
      </c>
      <c r="BJ7" s="1954">
        <v>56.999688380000002</v>
      </c>
      <c r="BK7" s="663">
        <v>51</v>
      </c>
      <c r="BL7" s="663">
        <v>50</v>
      </c>
      <c r="BM7" s="663">
        <v>33</v>
      </c>
      <c r="BN7" s="57">
        <v>49</v>
      </c>
      <c r="BO7" s="57">
        <v>12.618716809999999</v>
      </c>
      <c r="BP7" s="678">
        <v>13.319704799999998</v>
      </c>
      <c r="BQ7" s="1954">
        <v>56.999688380000002</v>
      </c>
      <c r="BR7" s="1947"/>
      <c r="BS7" s="57">
        <v>11649</v>
      </c>
      <c r="BT7" s="57">
        <v>103539</v>
      </c>
      <c r="BU7" s="662">
        <v>114449</v>
      </c>
      <c r="BV7" s="57">
        <v>34152</v>
      </c>
      <c r="BW7" s="57">
        <v>45029</v>
      </c>
      <c r="BX7" s="142">
        <v>25326.97113815452</v>
      </c>
      <c r="BY7" s="1949">
        <v>12132.931319065605</v>
      </c>
      <c r="BZ7" s="3143">
        <v>3</v>
      </c>
      <c r="CA7" s="57">
        <v>24</v>
      </c>
      <c r="CB7" s="663">
        <v>26.4</v>
      </c>
      <c r="CC7" s="57">
        <v>7</v>
      </c>
      <c r="CD7" s="57">
        <v>9.6572923300000006</v>
      </c>
      <c r="CE7" s="678">
        <v>5.4318754999999994</v>
      </c>
      <c r="CF7" s="1954">
        <v>2.6021497800000004</v>
      </c>
      <c r="CG7" s="3147">
        <v>3</v>
      </c>
      <c r="CH7" s="57">
        <v>24</v>
      </c>
      <c r="CI7" s="663">
        <v>26</v>
      </c>
      <c r="CJ7" s="57">
        <v>7</v>
      </c>
      <c r="CK7" s="57">
        <v>9.6572923300000006</v>
      </c>
      <c r="CL7" s="678">
        <v>5.4318754999999994</v>
      </c>
      <c r="CM7" s="1954">
        <v>2.6021497800000004</v>
      </c>
      <c r="CN7" s="663"/>
      <c r="CO7" s="662"/>
      <c r="CP7" s="57"/>
      <c r="CQ7" s="57"/>
      <c r="CR7" s="984"/>
      <c r="CS7" s="994"/>
      <c r="CT7" s="663"/>
      <c r="CU7" s="662"/>
      <c r="CV7" s="57"/>
      <c r="CW7" s="57"/>
      <c r="CX7" s="984"/>
      <c r="CY7" s="994"/>
      <c r="CZ7" s="663"/>
      <c r="DA7" s="662"/>
      <c r="DB7" s="57"/>
      <c r="DC7" s="57"/>
      <c r="DD7" s="984"/>
      <c r="DE7" s="1005"/>
    </row>
    <row r="8" spans="1:109">
      <c r="A8" s="1936"/>
      <c r="B8" s="3673"/>
      <c r="C8" s="3685"/>
      <c r="D8" s="1948" t="s">
        <v>497</v>
      </c>
      <c r="E8" s="57">
        <v>207537</v>
      </c>
      <c r="F8" s="57">
        <v>220572</v>
      </c>
      <c r="G8" s="662">
        <v>206971</v>
      </c>
      <c r="H8" s="57">
        <v>148998</v>
      </c>
      <c r="I8" s="57">
        <v>177317</v>
      </c>
      <c r="J8" s="142">
        <v>252542.29198473287</v>
      </c>
      <c r="K8" s="1949">
        <v>697826.82590746216</v>
      </c>
      <c r="L8" s="57">
        <v>57</v>
      </c>
      <c r="M8" s="57">
        <v>60</v>
      </c>
      <c r="N8" s="663">
        <v>57</v>
      </c>
      <c r="O8" s="57">
        <v>38</v>
      </c>
      <c r="P8" s="57">
        <v>45.527859840000005</v>
      </c>
      <c r="Q8" s="678">
        <v>64.842758890000013</v>
      </c>
      <c r="R8" s="1954">
        <v>179.17401581999999</v>
      </c>
      <c r="S8" s="57">
        <v>57</v>
      </c>
      <c r="T8" s="57">
        <v>60</v>
      </c>
      <c r="U8" s="663">
        <v>57</v>
      </c>
      <c r="V8" s="57">
        <v>38</v>
      </c>
      <c r="W8" s="57">
        <v>45.527859840000005</v>
      </c>
      <c r="X8" s="678">
        <v>64.842758890000013</v>
      </c>
      <c r="Y8" s="1954">
        <v>179.17401581999999</v>
      </c>
      <c r="Z8" s="1947"/>
      <c r="AA8" s="57">
        <v>207537</v>
      </c>
      <c r="AB8" s="57">
        <v>220572</v>
      </c>
      <c r="AC8" s="662">
        <v>206971</v>
      </c>
      <c r="AD8" s="57">
        <v>148998</v>
      </c>
      <c r="AE8" s="57">
        <v>177316.79326997977</v>
      </c>
      <c r="AF8" s="142">
        <v>252542.29198473287</v>
      </c>
      <c r="AG8" s="1949">
        <v>690017.66268110299</v>
      </c>
      <c r="AH8" s="3143">
        <v>57</v>
      </c>
      <c r="AI8" s="57">
        <v>60</v>
      </c>
      <c r="AJ8" s="663">
        <v>57</v>
      </c>
      <c r="AK8" s="57">
        <v>38</v>
      </c>
      <c r="AL8" s="57">
        <v>45.527859840000005</v>
      </c>
      <c r="AM8" s="678">
        <v>64.842758890000013</v>
      </c>
      <c r="AN8" s="1954">
        <v>177.16893506999997</v>
      </c>
      <c r="AO8" s="1958">
        <v>57</v>
      </c>
      <c r="AP8" s="57">
        <v>60</v>
      </c>
      <c r="AQ8" s="663">
        <v>57</v>
      </c>
      <c r="AR8" s="57">
        <v>38</v>
      </c>
      <c r="AS8" s="57">
        <v>45.527859840000005</v>
      </c>
      <c r="AT8" s="678">
        <v>64.842758890000013</v>
      </c>
      <c r="AU8" s="1954">
        <v>177.16893506999997</v>
      </c>
      <c r="AV8" s="1947"/>
      <c r="AW8" s="57" t="s">
        <v>498</v>
      </c>
      <c r="AX8" s="57" t="s">
        <v>498</v>
      </c>
      <c r="AY8" s="662" t="s">
        <v>498</v>
      </c>
      <c r="AZ8" s="57" t="s">
        <v>498</v>
      </c>
      <c r="BA8" s="57" t="s">
        <v>498</v>
      </c>
      <c r="BB8" s="142">
        <v>0</v>
      </c>
      <c r="BC8" s="1949">
        <v>7809.1632263592455</v>
      </c>
      <c r="BD8" s="57" t="s">
        <v>498</v>
      </c>
      <c r="BE8" s="57" t="s">
        <v>498</v>
      </c>
      <c r="BF8" s="663" t="s">
        <v>498</v>
      </c>
      <c r="BG8" s="57" t="s">
        <v>498</v>
      </c>
      <c r="BH8" s="57" t="s">
        <v>132</v>
      </c>
      <c r="BI8" s="678" t="s">
        <v>132</v>
      </c>
      <c r="BJ8" s="1954">
        <v>2.0050807499999999</v>
      </c>
      <c r="BK8" s="663" t="s">
        <v>498</v>
      </c>
      <c r="BL8" s="663" t="s">
        <v>498</v>
      </c>
      <c r="BM8" s="663" t="s">
        <v>498</v>
      </c>
      <c r="BN8" s="57" t="s">
        <v>498</v>
      </c>
      <c r="BO8" s="3419" t="s">
        <v>132</v>
      </c>
      <c r="BP8" s="3425" t="s">
        <v>132</v>
      </c>
      <c r="BQ8" s="1954">
        <v>2.0050807499999999</v>
      </c>
      <c r="BR8" s="1947"/>
      <c r="BS8" s="57" t="s">
        <v>498</v>
      </c>
      <c r="BT8" s="57" t="s">
        <v>132</v>
      </c>
      <c r="BU8" s="662" t="s">
        <v>498</v>
      </c>
      <c r="BV8" s="57" t="s">
        <v>498</v>
      </c>
      <c r="BW8" s="57" t="s">
        <v>498</v>
      </c>
      <c r="BX8" s="142">
        <v>0</v>
      </c>
      <c r="BY8" s="1949" t="s">
        <v>132</v>
      </c>
      <c r="BZ8" s="3143" t="s">
        <v>498</v>
      </c>
      <c r="CA8" s="57" t="s">
        <v>498</v>
      </c>
      <c r="CB8" s="663" t="s">
        <v>498</v>
      </c>
      <c r="CC8" s="57" t="s">
        <v>498</v>
      </c>
      <c r="CD8" s="678" t="s">
        <v>132</v>
      </c>
      <c r="CE8" s="678" t="s">
        <v>132</v>
      </c>
      <c r="CF8" s="1954" t="s">
        <v>132</v>
      </c>
      <c r="CG8" s="3147" t="s">
        <v>498</v>
      </c>
      <c r="CH8" s="57" t="s">
        <v>498</v>
      </c>
      <c r="CI8" s="663" t="s">
        <v>498</v>
      </c>
      <c r="CJ8" s="57" t="s">
        <v>498</v>
      </c>
      <c r="CK8" s="57" t="s">
        <v>132</v>
      </c>
      <c r="CL8" s="678" t="s">
        <v>132</v>
      </c>
      <c r="CM8" s="1954" t="s">
        <v>132</v>
      </c>
      <c r="CN8" s="663"/>
      <c r="CO8" s="662"/>
      <c r="CP8" s="57"/>
      <c r="CQ8" s="57"/>
      <c r="CR8" s="984"/>
      <c r="CS8" s="994"/>
      <c r="CT8" s="663"/>
      <c r="CU8" s="662"/>
      <c r="CV8" s="57"/>
      <c r="CW8" s="57"/>
      <c r="CX8" s="984"/>
      <c r="CY8" s="994"/>
      <c r="CZ8" s="663"/>
      <c r="DA8" s="662"/>
      <c r="DB8" s="57"/>
      <c r="DC8" s="57"/>
      <c r="DD8" s="984"/>
      <c r="DE8" s="1005"/>
    </row>
    <row r="9" spans="1:109">
      <c r="A9" s="1936"/>
      <c r="B9" s="3673"/>
      <c r="C9" s="3685"/>
      <c r="D9" s="1948" t="s">
        <v>499</v>
      </c>
      <c r="E9" s="57">
        <v>94445</v>
      </c>
      <c r="F9" s="57">
        <v>11366</v>
      </c>
      <c r="G9" s="662">
        <v>1322</v>
      </c>
      <c r="H9" s="57">
        <v>918356</v>
      </c>
      <c r="I9" s="57">
        <v>5973</v>
      </c>
      <c r="J9" s="142">
        <f>6184.26233205374+136</f>
        <v>6320.2623320537396</v>
      </c>
      <c r="K9" s="1949">
        <v>7327.4477199217035</v>
      </c>
      <c r="L9" s="57">
        <v>1</v>
      </c>
      <c r="M9" s="1952" t="s">
        <v>132</v>
      </c>
      <c r="N9" s="1951" t="s">
        <v>498</v>
      </c>
      <c r="O9" s="1950">
        <v>14</v>
      </c>
      <c r="P9" s="1950">
        <v>9.3364352000000012E-2</v>
      </c>
      <c r="Q9" s="1952">
        <v>9.6660020250000006E-2</v>
      </c>
      <c r="R9" s="1953">
        <v>7.0176543300000005E-2</v>
      </c>
      <c r="S9" s="57">
        <v>1</v>
      </c>
      <c r="T9" s="57" t="s">
        <v>132</v>
      </c>
      <c r="U9" s="663" t="s">
        <v>132</v>
      </c>
      <c r="V9" s="57">
        <v>14</v>
      </c>
      <c r="W9" s="3356">
        <v>9.3364352000000012E-2</v>
      </c>
      <c r="X9" s="3427">
        <v>9.6660020250000006E-2</v>
      </c>
      <c r="Y9" s="3428">
        <v>7.0176543300000005E-2</v>
      </c>
      <c r="Z9" s="1947"/>
      <c r="AA9" s="57">
        <v>94445</v>
      </c>
      <c r="AB9" s="57">
        <v>11336</v>
      </c>
      <c r="AC9" s="662">
        <v>1322</v>
      </c>
      <c r="AD9" s="57">
        <v>918356</v>
      </c>
      <c r="AE9" s="57">
        <v>5973.4070377479211</v>
      </c>
      <c r="AF9" s="142">
        <f>6184.26233205374+136</f>
        <v>6320.2623320537396</v>
      </c>
      <c r="AG9" s="1949">
        <v>7327.4477199217035</v>
      </c>
      <c r="AH9" s="3143">
        <v>1.07</v>
      </c>
      <c r="AI9" s="3356">
        <v>0.12</v>
      </c>
      <c r="AJ9" s="3426">
        <v>0.01</v>
      </c>
      <c r="AK9" s="57">
        <v>14.35</v>
      </c>
      <c r="AL9" s="3356">
        <v>9.3364352000000012E-2</v>
      </c>
      <c r="AM9" s="3427">
        <v>9.6660020250000006E-2</v>
      </c>
      <c r="AN9" s="3428">
        <v>7.0176543300000005E-2</v>
      </c>
      <c r="AO9" s="1958">
        <v>1.07</v>
      </c>
      <c r="AP9" s="3356">
        <v>0.12</v>
      </c>
      <c r="AQ9" s="3426">
        <v>0.01</v>
      </c>
      <c r="AR9" s="57">
        <v>14.35</v>
      </c>
      <c r="AS9" s="57" t="s">
        <v>132</v>
      </c>
      <c r="AT9" s="678" t="s">
        <v>132</v>
      </c>
      <c r="AU9" s="1954" t="s">
        <v>132</v>
      </c>
      <c r="AV9" s="1947"/>
      <c r="AW9" s="57" t="s">
        <v>498</v>
      </c>
      <c r="AX9" s="57" t="s">
        <v>498</v>
      </c>
      <c r="AY9" s="662" t="s">
        <v>498</v>
      </c>
      <c r="AZ9" s="57" t="s">
        <v>498</v>
      </c>
      <c r="BA9" s="57" t="s">
        <v>498</v>
      </c>
      <c r="BB9" s="142">
        <v>0</v>
      </c>
      <c r="BC9" s="1949" t="s">
        <v>132</v>
      </c>
      <c r="BD9" s="57" t="s">
        <v>498</v>
      </c>
      <c r="BE9" s="57" t="s">
        <v>498</v>
      </c>
      <c r="BF9" s="663" t="s">
        <v>498</v>
      </c>
      <c r="BG9" s="57" t="s">
        <v>498</v>
      </c>
      <c r="BH9" s="57" t="s">
        <v>132</v>
      </c>
      <c r="BI9" s="678" t="s">
        <v>132</v>
      </c>
      <c r="BJ9" s="1954" t="s">
        <v>132</v>
      </c>
      <c r="BK9" s="663" t="s">
        <v>498</v>
      </c>
      <c r="BL9" s="663" t="s">
        <v>498</v>
      </c>
      <c r="BM9" s="663" t="s">
        <v>498</v>
      </c>
      <c r="BN9" s="57" t="s">
        <v>498</v>
      </c>
      <c r="BO9" s="3419" t="s">
        <v>132</v>
      </c>
      <c r="BP9" s="3425" t="s">
        <v>132</v>
      </c>
      <c r="BQ9" s="1954" t="s">
        <v>132</v>
      </c>
      <c r="BR9" s="1947"/>
      <c r="BS9" s="57" t="s">
        <v>498</v>
      </c>
      <c r="BT9" s="57">
        <v>0</v>
      </c>
      <c r="BU9" s="662" t="s">
        <v>498</v>
      </c>
      <c r="BV9" s="57" t="s">
        <v>498</v>
      </c>
      <c r="BW9" s="57" t="s">
        <v>498</v>
      </c>
      <c r="BX9" s="142">
        <v>0</v>
      </c>
      <c r="BY9" s="1949" t="s">
        <v>132</v>
      </c>
      <c r="BZ9" s="3143" t="s">
        <v>498</v>
      </c>
      <c r="CA9" s="57" t="s">
        <v>498</v>
      </c>
      <c r="CB9" s="663" t="s">
        <v>498</v>
      </c>
      <c r="CC9" s="57" t="s">
        <v>498</v>
      </c>
      <c r="CD9" s="678" t="s">
        <v>132</v>
      </c>
      <c r="CE9" s="678" t="s">
        <v>132</v>
      </c>
      <c r="CF9" s="1954" t="s">
        <v>132</v>
      </c>
      <c r="CG9" s="3147" t="s">
        <v>498</v>
      </c>
      <c r="CH9" s="57" t="s">
        <v>498</v>
      </c>
      <c r="CI9" s="663" t="s">
        <v>498</v>
      </c>
      <c r="CJ9" s="57" t="s">
        <v>498</v>
      </c>
      <c r="CK9" s="57" t="s">
        <v>132</v>
      </c>
      <c r="CL9" s="678" t="s">
        <v>132</v>
      </c>
      <c r="CM9" s="1954" t="s">
        <v>132</v>
      </c>
      <c r="CN9" s="663"/>
      <c r="CO9" s="662"/>
      <c r="CP9" s="57"/>
      <c r="CQ9" s="57"/>
      <c r="CR9" s="984"/>
      <c r="CS9" s="994"/>
      <c r="CT9" s="663"/>
      <c r="CU9" s="662"/>
      <c r="CV9" s="57"/>
      <c r="CW9" s="57"/>
      <c r="CX9" s="984"/>
      <c r="CY9" s="994"/>
      <c r="CZ9" s="663"/>
      <c r="DA9" s="662"/>
      <c r="DB9" s="57"/>
      <c r="DC9" s="57"/>
      <c r="DD9" s="984"/>
      <c r="DE9" s="1005"/>
    </row>
    <row r="10" spans="1:109">
      <c r="A10" s="1936"/>
      <c r="B10" s="3673"/>
      <c r="C10" s="3685"/>
      <c r="D10" s="1948" t="s">
        <v>500</v>
      </c>
      <c r="E10" s="142" t="s">
        <v>498</v>
      </c>
      <c r="F10" s="142" t="s">
        <v>498</v>
      </c>
      <c r="G10" s="662" t="s">
        <v>498</v>
      </c>
      <c r="H10" s="142">
        <v>21488</v>
      </c>
      <c r="I10" s="57" t="s">
        <v>498</v>
      </c>
      <c r="J10" s="142">
        <v>0</v>
      </c>
      <c r="K10" s="1949" t="s">
        <v>132</v>
      </c>
      <c r="L10" s="3328" t="s">
        <v>498</v>
      </c>
      <c r="M10" s="1952" t="s">
        <v>498</v>
      </c>
      <c r="N10" s="1951" t="s">
        <v>498</v>
      </c>
      <c r="O10" s="1952">
        <v>6</v>
      </c>
      <c r="P10" s="3356" t="s">
        <v>132</v>
      </c>
      <c r="Q10" s="1952" t="s">
        <v>132</v>
      </c>
      <c r="R10" s="1953" t="s">
        <v>132</v>
      </c>
      <c r="S10" s="3328" t="s">
        <v>498</v>
      </c>
      <c r="T10" s="678" t="s">
        <v>498</v>
      </c>
      <c r="U10" s="663" t="s">
        <v>498</v>
      </c>
      <c r="V10" s="678">
        <v>6</v>
      </c>
      <c r="W10" s="3356" t="s">
        <v>132</v>
      </c>
      <c r="X10" s="3427" t="s">
        <v>132</v>
      </c>
      <c r="Y10" s="1954" t="s">
        <v>132</v>
      </c>
      <c r="Z10" s="1947"/>
      <c r="AA10" s="142" t="s">
        <v>498</v>
      </c>
      <c r="AB10" s="142" t="s">
        <v>498</v>
      </c>
      <c r="AC10" s="662" t="s">
        <v>498</v>
      </c>
      <c r="AD10" s="142" t="s">
        <v>498</v>
      </c>
      <c r="AE10" s="57">
        <v>0</v>
      </c>
      <c r="AF10" s="142">
        <v>0</v>
      </c>
      <c r="AG10" s="1949" t="s">
        <v>132</v>
      </c>
      <c r="AH10" s="3143" t="s">
        <v>498</v>
      </c>
      <c r="AI10" s="678" t="s">
        <v>498</v>
      </c>
      <c r="AJ10" s="663" t="s">
        <v>498</v>
      </c>
      <c r="AK10" s="3427" t="s">
        <v>498</v>
      </c>
      <c r="AL10" s="3356" t="s">
        <v>132</v>
      </c>
      <c r="AM10" s="3427" t="s">
        <v>132</v>
      </c>
      <c r="AN10" s="3428" t="s">
        <v>132</v>
      </c>
      <c r="AO10" s="1958" t="s">
        <v>498</v>
      </c>
      <c r="AP10" s="678" t="s">
        <v>498</v>
      </c>
      <c r="AQ10" s="663" t="s">
        <v>498</v>
      </c>
      <c r="AR10" s="678" t="s">
        <v>498</v>
      </c>
      <c r="AS10" s="57" t="s">
        <v>132</v>
      </c>
      <c r="AT10" s="678" t="s">
        <v>132</v>
      </c>
      <c r="AU10" s="1954" t="s">
        <v>132</v>
      </c>
      <c r="AV10" s="1947"/>
      <c r="AW10" s="142" t="s">
        <v>498</v>
      </c>
      <c r="AX10" s="142" t="s">
        <v>498</v>
      </c>
      <c r="AY10" s="662" t="s">
        <v>498</v>
      </c>
      <c r="AZ10" s="142">
        <v>21488</v>
      </c>
      <c r="BA10" s="57" t="s">
        <v>498</v>
      </c>
      <c r="BB10" s="142">
        <v>0</v>
      </c>
      <c r="BC10" s="1949" t="s">
        <v>132</v>
      </c>
      <c r="BD10" s="678" t="s">
        <v>498</v>
      </c>
      <c r="BE10" s="678" t="s">
        <v>498</v>
      </c>
      <c r="BF10" s="663" t="s">
        <v>498</v>
      </c>
      <c r="BG10" s="678">
        <v>6</v>
      </c>
      <c r="BH10" s="57" t="s">
        <v>132</v>
      </c>
      <c r="BI10" s="678" t="s">
        <v>132</v>
      </c>
      <c r="BJ10" s="1954" t="s">
        <v>132</v>
      </c>
      <c r="BK10" s="2021" t="s">
        <v>498</v>
      </c>
      <c r="BL10" s="2021" t="s">
        <v>498</v>
      </c>
      <c r="BM10" s="663" t="s">
        <v>498</v>
      </c>
      <c r="BN10" s="678">
        <v>6</v>
      </c>
      <c r="BO10" s="3419" t="s">
        <v>132</v>
      </c>
      <c r="BP10" s="3425" t="s">
        <v>132</v>
      </c>
      <c r="BQ10" s="1954" t="s">
        <v>132</v>
      </c>
      <c r="BR10" s="1947"/>
      <c r="BS10" s="142" t="s">
        <v>498</v>
      </c>
      <c r="BT10" s="142">
        <v>0</v>
      </c>
      <c r="BU10" s="662" t="s">
        <v>498</v>
      </c>
      <c r="BV10" s="142" t="s">
        <v>498</v>
      </c>
      <c r="BW10" s="57" t="s">
        <v>498</v>
      </c>
      <c r="BX10" s="142">
        <v>0</v>
      </c>
      <c r="BY10" s="1949" t="s">
        <v>132</v>
      </c>
      <c r="BZ10" s="3143" t="s">
        <v>498</v>
      </c>
      <c r="CA10" s="678" t="s">
        <v>498</v>
      </c>
      <c r="CB10" s="663" t="s">
        <v>498</v>
      </c>
      <c r="CC10" s="678" t="s">
        <v>498</v>
      </c>
      <c r="CD10" s="678" t="s">
        <v>132</v>
      </c>
      <c r="CE10" s="678" t="s">
        <v>132</v>
      </c>
      <c r="CF10" s="1954" t="s">
        <v>132</v>
      </c>
      <c r="CG10" s="3147" t="s">
        <v>498</v>
      </c>
      <c r="CH10" s="678" t="s">
        <v>498</v>
      </c>
      <c r="CI10" s="663" t="s">
        <v>498</v>
      </c>
      <c r="CJ10" s="678" t="s">
        <v>498</v>
      </c>
      <c r="CK10" s="57" t="s">
        <v>132</v>
      </c>
      <c r="CL10" s="678" t="s">
        <v>132</v>
      </c>
      <c r="CM10" s="1954" t="s">
        <v>132</v>
      </c>
      <c r="CN10" s="986"/>
      <c r="CO10" s="662"/>
      <c r="CP10" s="142"/>
      <c r="CQ10" s="57"/>
      <c r="CR10" s="984"/>
      <c r="CS10" s="994"/>
      <c r="CT10" s="986"/>
      <c r="CU10" s="662"/>
      <c r="CV10" s="142"/>
      <c r="CW10" s="57"/>
      <c r="CX10" s="984"/>
      <c r="CY10" s="994"/>
      <c r="CZ10" s="986"/>
      <c r="DA10" s="662"/>
      <c r="DB10" s="142"/>
      <c r="DC10" s="57"/>
      <c r="DD10" s="984"/>
      <c r="DE10" s="1005"/>
    </row>
    <row r="11" spans="1:109">
      <c r="A11" s="1936"/>
      <c r="B11" s="3673"/>
      <c r="C11" s="3685"/>
      <c r="D11" s="1948" t="s">
        <v>501</v>
      </c>
      <c r="E11" s="57">
        <v>188</v>
      </c>
      <c r="F11" s="57">
        <v>735</v>
      </c>
      <c r="G11" s="662">
        <v>933</v>
      </c>
      <c r="H11" s="57">
        <v>178</v>
      </c>
      <c r="I11" s="57">
        <v>46</v>
      </c>
      <c r="J11" s="142">
        <v>47.256235827664405</v>
      </c>
      <c r="K11" s="1949">
        <v>565.54229238865366</v>
      </c>
      <c r="L11" s="3356">
        <v>0.04</v>
      </c>
      <c r="M11" s="57">
        <v>2</v>
      </c>
      <c r="N11" s="1951">
        <v>0.2</v>
      </c>
      <c r="O11" s="3356">
        <v>0.04</v>
      </c>
      <c r="P11" s="3356">
        <v>1.08401E-2</v>
      </c>
      <c r="Q11" s="3427">
        <v>1.10452E-2</v>
      </c>
      <c r="R11" s="1953" t="s">
        <v>132</v>
      </c>
      <c r="S11" s="3356">
        <v>0.04</v>
      </c>
      <c r="T11" s="57">
        <v>2</v>
      </c>
      <c r="U11" s="1951">
        <v>0.2</v>
      </c>
      <c r="V11" s="57" t="s">
        <v>132</v>
      </c>
      <c r="W11" s="3356">
        <v>1.08401E-2</v>
      </c>
      <c r="X11" s="3427">
        <v>1.10452E-2</v>
      </c>
      <c r="Y11" s="3428">
        <v>0.1321842</v>
      </c>
      <c r="Z11" s="1947"/>
      <c r="AA11" s="57">
        <v>188</v>
      </c>
      <c r="AB11" s="57">
        <v>735</v>
      </c>
      <c r="AC11" s="662">
        <v>933</v>
      </c>
      <c r="AD11" s="57">
        <v>178</v>
      </c>
      <c r="AE11" s="57">
        <v>46.378727591665601</v>
      </c>
      <c r="AF11" s="142">
        <v>47.256235827664405</v>
      </c>
      <c r="AG11" s="1949">
        <v>565.54229238865366</v>
      </c>
      <c r="AH11" s="3361">
        <v>0.04</v>
      </c>
      <c r="AI11" s="3356">
        <v>0.17</v>
      </c>
      <c r="AJ11" s="3426">
        <v>0.21</v>
      </c>
      <c r="AK11" s="3356">
        <v>0.04</v>
      </c>
      <c r="AL11" s="3356">
        <v>1.08401E-2</v>
      </c>
      <c r="AM11" s="3427">
        <v>1.10452E-2</v>
      </c>
      <c r="AN11" s="3428">
        <v>0.1321842</v>
      </c>
      <c r="AO11" s="3362">
        <v>0.04</v>
      </c>
      <c r="AP11" s="3356">
        <v>0.17</v>
      </c>
      <c r="AQ11" s="663" t="s">
        <v>132</v>
      </c>
      <c r="AR11" s="57" t="s">
        <v>132</v>
      </c>
      <c r="AS11" s="57" t="s">
        <v>132</v>
      </c>
      <c r="AT11" s="678" t="s">
        <v>132</v>
      </c>
      <c r="AU11" s="1954" t="s">
        <v>132</v>
      </c>
      <c r="AV11" s="1947"/>
      <c r="AW11" s="57" t="s">
        <v>498</v>
      </c>
      <c r="AX11" s="57" t="s">
        <v>498</v>
      </c>
      <c r="AY11" s="662" t="s">
        <v>498</v>
      </c>
      <c r="AZ11" s="57" t="s">
        <v>498</v>
      </c>
      <c r="BA11" s="57" t="s">
        <v>498</v>
      </c>
      <c r="BB11" s="142">
        <v>0</v>
      </c>
      <c r="BC11" s="1949" t="s">
        <v>132</v>
      </c>
      <c r="BD11" s="57" t="s">
        <v>498</v>
      </c>
      <c r="BE11" s="57" t="s">
        <v>498</v>
      </c>
      <c r="BF11" s="663" t="s">
        <v>498</v>
      </c>
      <c r="BG11" s="57" t="s">
        <v>498</v>
      </c>
      <c r="BH11" s="57" t="s">
        <v>132</v>
      </c>
      <c r="BI11" s="678" t="s">
        <v>132</v>
      </c>
      <c r="BJ11" s="1954" t="s">
        <v>132</v>
      </c>
      <c r="BK11" s="663" t="s">
        <v>498</v>
      </c>
      <c r="BL11" s="663" t="s">
        <v>498</v>
      </c>
      <c r="BM11" s="663" t="s">
        <v>498</v>
      </c>
      <c r="BN11" s="57" t="s">
        <v>498</v>
      </c>
      <c r="BO11" s="3419" t="s">
        <v>132</v>
      </c>
      <c r="BP11" s="3425" t="s">
        <v>132</v>
      </c>
      <c r="BQ11" s="1954" t="s">
        <v>132</v>
      </c>
      <c r="BR11" s="1947"/>
      <c r="BS11" s="57" t="s">
        <v>498</v>
      </c>
      <c r="BT11" s="57" t="s">
        <v>132</v>
      </c>
      <c r="BU11" s="662" t="s">
        <v>498</v>
      </c>
      <c r="BV11" s="57" t="s">
        <v>498</v>
      </c>
      <c r="BW11" s="57" t="s">
        <v>498</v>
      </c>
      <c r="BX11" s="142">
        <v>0</v>
      </c>
      <c r="BY11" s="1949" t="s">
        <v>132</v>
      </c>
      <c r="BZ11" s="3143" t="s">
        <v>498</v>
      </c>
      <c r="CA11" s="57" t="s">
        <v>498</v>
      </c>
      <c r="CB11" s="663" t="s">
        <v>498</v>
      </c>
      <c r="CC11" s="57" t="s">
        <v>498</v>
      </c>
      <c r="CD11" s="678" t="s">
        <v>132</v>
      </c>
      <c r="CE11" s="678" t="s">
        <v>132</v>
      </c>
      <c r="CF11" s="1954" t="s">
        <v>132</v>
      </c>
      <c r="CG11" s="3147" t="s">
        <v>498</v>
      </c>
      <c r="CH11" s="57" t="s">
        <v>498</v>
      </c>
      <c r="CI11" s="663" t="s">
        <v>498</v>
      </c>
      <c r="CJ11" s="57" t="s">
        <v>498</v>
      </c>
      <c r="CK11" s="57" t="s">
        <v>132</v>
      </c>
      <c r="CL11" s="678" t="s">
        <v>132</v>
      </c>
      <c r="CM11" s="1954" t="s">
        <v>132</v>
      </c>
      <c r="CN11" s="663"/>
      <c r="CO11" s="662"/>
      <c r="CP11" s="57"/>
      <c r="CQ11" s="57"/>
      <c r="CR11" s="984"/>
      <c r="CS11" s="994"/>
      <c r="CT11" s="663"/>
      <c r="CU11" s="662"/>
      <c r="CV11" s="57"/>
      <c r="CW11" s="57"/>
      <c r="CX11" s="984"/>
      <c r="CY11" s="994"/>
      <c r="CZ11" s="663"/>
      <c r="DA11" s="662"/>
      <c r="DB11" s="57"/>
      <c r="DC11" s="57"/>
      <c r="DD11" s="984"/>
      <c r="DE11" s="1005"/>
    </row>
    <row r="12" spans="1:109">
      <c r="A12" s="1936"/>
      <c r="B12" s="3673"/>
      <c r="C12" s="3685"/>
      <c r="D12" s="1948" t="s">
        <v>502</v>
      </c>
      <c r="E12" s="57">
        <v>934406</v>
      </c>
      <c r="F12" s="57">
        <v>1048400</v>
      </c>
      <c r="G12" s="662">
        <v>801255</v>
      </c>
      <c r="H12" s="57">
        <v>493675</v>
      </c>
      <c r="I12" s="57">
        <v>1099839</v>
      </c>
      <c r="J12" s="142">
        <v>526988.26908396953</v>
      </c>
      <c r="K12" s="1949" t="s">
        <v>132</v>
      </c>
      <c r="L12" s="57">
        <v>237</v>
      </c>
      <c r="M12" s="57">
        <v>286</v>
      </c>
      <c r="N12" s="663">
        <v>219</v>
      </c>
      <c r="O12" s="57">
        <v>127</v>
      </c>
      <c r="P12" s="57">
        <v>282.39462400000002</v>
      </c>
      <c r="Q12" s="678">
        <v>135.30950797</v>
      </c>
      <c r="R12" s="1954" t="s">
        <v>132</v>
      </c>
      <c r="S12" s="57">
        <v>237</v>
      </c>
      <c r="T12" s="57">
        <v>286</v>
      </c>
      <c r="U12" s="663">
        <v>219</v>
      </c>
      <c r="V12" s="57">
        <v>127</v>
      </c>
      <c r="W12" s="57">
        <v>282.39462400000002</v>
      </c>
      <c r="X12" s="678">
        <v>135.30950797</v>
      </c>
      <c r="Y12" s="1954" t="s">
        <v>132</v>
      </c>
      <c r="Z12" s="1947"/>
      <c r="AA12" s="57">
        <v>399200</v>
      </c>
      <c r="AB12" s="57">
        <v>388102</v>
      </c>
      <c r="AC12" s="662">
        <v>294124</v>
      </c>
      <c r="AD12" s="57">
        <v>302441</v>
      </c>
      <c r="AE12" s="57">
        <v>500211.86602274497</v>
      </c>
      <c r="AF12" s="142">
        <v>274059.25190839695</v>
      </c>
      <c r="AG12" s="1949" t="s">
        <v>132</v>
      </c>
      <c r="AH12" s="3143">
        <v>101</v>
      </c>
      <c r="AI12" s="57">
        <v>106</v>
      </c>
      <c r="AJ12" s="663">
        <v>80</v>
      </c>
      <c r="AK12" s="57">
        <v>78</v>
      </c>
      <c r="AL12" s="57">
        <v>128.43439871999999</v>
      </c>
      <c r="AM12" s="678">
        <v>70.367453519999998</v>
      </c>
      <c r="AN12" s="1954" t="s">
        <v>132</v>
      </c>
      <c r="AO12" s="1958">
        <v>101</v>
      </c>
      <c r="AP12" s="57">
        <v>106</v>
      </c>
      <c r="AQ12" s="663">
        <v>80</v>
      </c>
      <c r="AR12" s="57">
        <v>78</v>
      </c>
      <c r="AS12" s="57">
        <v>128.43439871999999</v>
      </c>
      <c r="AT12" s="678">
        <v>70.367453519999998</v>
      </c>
      <c r="AU12" s="1954" t="s">
        <v>132</v>
      </c>
      <c r="AV12" s="1947"/>
      <c r="AW12" s="57">
        <v>425798</v>
      </c>
      <c r="AX12" s="57">
        <v>550583</v>
      </c>
      <c r="AY12" s="662">
        <v>391283</v>
      </c>
      <c r="AZ12" s="57">
        <v>51570</v>
      </c>
      <c r="BA12" s="57">
        <v>486335</v>
      </c>
      <c r="BB12" s="142">
        <v>247826.39312977102</v>
      </c>
      <c r="BC12" s="1949" t="s">
        <v>132</v>
      </c>
      <c r="BD12" s="57">
        <v>108</v>
      </c>
      <c r="BE12" s="57">
        <v>150</v>
      </c>
      <c r="BF12" s="663">
        <v>107</v>
      </c>
      <c r="BG12" s="57">
        <v>13</v>
      </c>
      <c r="BH12" s="57">
        <v>124.87137280000002</v>
      </c>
      <c r="BI12" s="678">
        <v>63.631904700000007</v>
      </c>
      <c r="BJ12" s="1954" t="s">
        <v>132</v>
      </c>
      <c r="BK12" s="663">
        <v>108</v>
      </c>
      <c r="BL12" s="663">
        <v>150</v>
      </c>
      <c r="BM12" s="663">
        <v>107</v>
      </c>
      <c r="BN12" s="57">
        <v>13</v>
      </c>
      <c r="BO12" s="57">
        <v>124.87137280000002</v>
      </c>
      <c r="BP12" s="678">
        <v>63.631904700000007</v>
      </c>
      <c r="BQ12" s="1954" t="s">
        <v>132</v>
      </c>
      <c r="BR12" s="1947"/>
      <c r="BS12" s="57">
        <v>109408</v>
      </c>
      <c r="BT12" s="57">
        <v>109715</v>
      </c>
      <c r="BU12" s="662">
        <v>115849</v>
      </c>
      <c r="BV12" s="57">
        <v>139664</v>
      </c>
      <c r="BW12" s="57">
        <v>113292</v>
      </c>
      <c r="BX12" s="142">
        <v>5102.6240458015272</v>
      </c>
      <c r="BY12" s="1949" t="s">
        <v>132</v>
      </c>
      <c r="BZ12" s="3143">
        <v>28</v>
      </c>
      <c r="CA12" s="57">
        <v>30</v>
      </c>
      <c r="CB12" s="663">
        <v>31.6</v>
      </c>
      <c r="CC12" s="57">
        <v>36</v>
      </c>
      <c r="CD12" s="57">
        <v>29.088852480000007</v>
      </c>
      <c r="CE12" s="1952">
        <v>1.3101497500000001</v>
      </c>
      <c r="CF12" s="1954" t="s">
        <v>132</v>
      </c>
      <c r="CG12" s="3147">
        <v>28</v>
      </c>
      <c r="CH12" s="57">
        <v>30</v>
      </c>
      <c r="CI12" s="663">
        <v>32</v>
      </c>
      <c r="CJ12" s="57">
        <v>36</v>
      </c>
      <c r="CK12" s="57">
        <v>29.088852480000007</v>
      </c>
      <c r="CL12" s="1952">
        <v>1.3101497499999999</v>
      </c>
      <c r="CM12" s="1954" t="s">
        <v>132</v>
      </c>
      <c r="CN12" s="663"/>
      <c r="CO12" s="662"/>
      <c r="CP12" s="57"/>
      <c r="CQ12" s="57"/>
      <c r="CR12" s="984"/>
      <c r="CS12" s="994"/>
      <c r="CT12" s="663"/>
      <c r="CU12" s="662"/>
      <c r="CV12" s="57"/>
      <c r="CW12" s="57"/>
      <c r="CX12" s="984"/>
      <c r="CY12" s="994"/>
      <c r="CZ12" s="663"/>
      <c r="DA12" s="662"/>
      <c r="DB12" s="57"/>
      <c r="DC12" s="57"/>
      <c r="DD12" s="984"/>
      <c r="DE12" s="1005"/>
    </row>
    <row r="13" spans="1:109">
      <c r="A13" s="1936"/>
      <c r="B13" s="3673"/>
      <c r="C13" s="3685"/>
      <c r="D13" s="1948" t="s">
        <v>503</v>
      </c>
      <c r="E13" s="57">
        <v>4195</v>
      </c>
      <c r="F13" s="57">
        <v>6244</v>
      </c>
      <c r="G13" s="662">
        <v>3903</v>
      </c>
      <c r="H13" s="57">
        <v>9054</v>
      </c>
      <c r="I13" s="57">
        <v>71598</v>
      </c>
      <c r="J13" s="142">
        <v>7120.0081782866482</v>
      </c>
      <c r="K13" s="1949">
        <v>53652.31420977306</v>
      </c>
      <c r="L13" s="57">
        <v>1</v>
      </c>
      <c r="M13" s="57">
        <v>2</v>
      </c>
      <c r="N13" s="663">
        <v>1</v>
      </c>
      <c r="O13" s="57">
        <v>2</v>
      </c>
      <c r="P13" s="57">
        <v>17.5092435</v>
      </c>
      <c r="Q13" s="678">
        <v>1.7411979999999998</v>
      </c>
      <c r="R13" s="1954">
        <v>13.120673440000001</v>
      </c>
      <c r="S13" s="57">
        <v>1.1000000000000001</v>
      </c>
      <c r="T13" s="663">
        <v>2</v>
      </c>
      <c r="U13" s="663">
        <v>1</v>
      </c>
      <c r="V13" s="57">
        <v>2</v>
      </c>
      <c r="W13" s="57">
        <v>17.5092435</v>
      </c>
      <c r="X13" s="678">
        <v>1.7411979999999998</v>
      </c>
      <c r="Y13" s="1954">
        <v>13.120673440000001</v>
      </c>
      <c r="Z13" s="1947"/>
      <c r="AA13" s="57">
        <v>4195</v>
      </c>
      <c r="AB13" s="57">
        <v>6244</v>
      </c>
      <c r="AC13" s="662">
        <v>3903</v>
      </c>
      <c r="AD13" s="57">
        <v>9054</v>
      </c>
      <c r="AE13" s="57">
        <v>4003.6536495604169</v>
      </c>
      <c r="AF13" s="142">
        <v>7120.0081782866482</v>
      </c>
      <c r="AG13" s="1949">
        <v>22476.250051114293</v>
      </c>
      <c r="AH13" s="3143">
        <v>1</v>
      </c>
      <c r="AI13" s="57">
        <v>2</v>
      </c>
      <c r="AJ13" s="663">
        <v>1</v>
      </c>
      <c r="AK13" s="57">
        <v>2</v>
      </c>
      <c r="AL13" s="57">
        <v>0.97909349999999984</v>
      </c>
      <c r="AM13" s="678">
        <v>1.7411979999999998</v>
      </c>
      <c r="AN13" s="1954">
        <v>5.4965669500000001</v>
      </c>
      <c r="AO13" s="3147">
        <v>1</v>
      </c>
      <c r="AP13" s="663">
        <v>2</v>
      </c>
      <c r="AQ13" s="663">
        <v>1</v>
      </c>
      <c r="AR13" s="57">
        <v>2</v>
      </c>
      <c r="AS13" s="57">
        <v>0.97909349999999984</v>
      </c>
      <c r="AT13" s="678">
        <v>1.7411979999999998</v>
      </c>
      <c r="AU13" s="1954">
        <v>5.4965669500000001</v>
      </c>
      <c r="AV13" s="1947"/>
      <c r="AW13" s="57" t="s">
        <v>498</v>
      </c>
      <c r="AX13" s="57" t="s">
        <v>498</v>
      </c>
      <c r="AY13" s="662" t="s">
        <v>498</v>
      </c>
      <c r="AZ13" s="57" t="s">
        <v>498</v>
      </c>
      <c r="BA13" s="57">
        <v>67594</v>
      </c>
      <c r="BB13" s="142">
        <v>0</v>
      </c>
      <c r="BC13" s="1949">
        <v>31176.064158658763</v>
      </c>
      <c r="BD13" s="57" t="s">
        <v>498</v>
      </c>
      <c r="BE13" s="57" t="s">
        <v>498</v>
      </c>
      <c r="BF13" s="663" t="s">
        <v>498</v>
      </c>
      <c r="BG13" s="57" t="s">
        <v>498</v>
      </c>
      <c r="BH13" s="57">
        <v>16.530149999999999</v>
      </c>
      <c r="BI13" s="678" t="s">
        <v>132</v>
      </c>
      <c r="BJ13" s="1954">
        <v>7.62410649</v>
      </c>
      <c r="BK13" s="663" t="s">
        <v>498</v>
      </c>
      <c r="BL13" s="663" t="s">
        <v>498</v>
      </c>
      <c r="BM13" s="663" t="s">
        <v>498</v>
      </c>
      <c r="BN13" s="57" t="s">
        <v>498</v>
      </c>
      <c r="BO13" s="57">
        <v>16.530149999999999</v>
      </c>
      <c r="BP13" s="678" t="s">
        <v>132</v>
      </c>
      <c r="BQ13" s="1954">
        <v>7.62410649</v>
      </c>
      <c r="BR13" s="1947"/>
      <c r="BS13" s="57" t="s">
        <v>498</v>
      </c>
      <c r="BT13" s="57">
        <v>0</v>
      </c>
      <c r="BU13" s="662" t="s">
        <v>498</v>
      </c>
      <c r="BV13" s="57" t="s">
        <v>498</v>
      </c>
      <c r="BW13" s="57" t="s">
        <v>498</v>
      </c>
      <c r="BX13" s="142">
        <v>0</v>
      </c>
      <c r="BY13" s="1949" t="s">
        <v>132</v>
      </c>
      <c r="BZ13" s="3143" t="s">
        <v>498</v>
      </c>
      <c r="CA13" s="57" t="s">
        <v>498</v>
      </c>
      <c r="CB13" s="663" t="s">
        <v>498</v>
      </c>
      <c r="CC13" s="57" t="s">
        <v>498</v>
      </c>
      <c r="CD13" s="57" t="s">
        <v>132</v>
      </c>
      <c r="CE13" s="678" t="s">
        <v>132</v>
      </c>
      <c r="CF13" s="1954" t="s">
        <v>132</v>
      </c>
      <c r="CG13" s="3147" t="s">
        <v>498</v>
      </c>
      <c r="CH13" s="663" t="s">
        <v>498</v>
      </c>
      <c r="CI13" s="663" t="s">
        <v>498</v>
      </c>
      <c r="CJ13" s="57" t="s">
        <v>498</v>
      </c>
      <c r="CK13" s="57" t="s">
        <v>132</v>
      </c>
      <c r="CL13" s="678" t="s">
        <v>132</v>
      </c>
      <c r="CM13" s="1954" t="s">
        <v>132</v>
      </c>
      <c r="CN13" s="663"/>
      <c r="CO13" s="662"/>
      <c r="CP13" s="57"/>
      <c r="CQ13" s="57"/>
      <c r="CR13" s="984"/>
      <c r="CS13" s="994"/>
      <c r="CT13" s="663"/>
      <c r="CU13" s="662"/>
      <c r="CV13" s="57"/>
      <c r="CW13" s="57"/>
      <c r="CX13" s="984"/>
      <c r="CY13" s="994"/>
      <c r="CZ13" s="663"/>
      <c r="DA13" s="662"/>
      <c r="DB13" s="57"/>
      <c r="DC13" s="57"/>
      <c r="DD13" s="984"/>
      <c r="DE13" s="1005"/>
    </row>
    <row r="14" spans="1:109">
      <c r="A14" s="1936"/>
      <c r="B14" s="3673"/>
      <c r="C14" s="3685" t="s">
        <v>504</v>
      </c>
      <c r="D14" s="1948" t="s">
        <v>505</v>
      </c>
      <c r="E14" s="57">
        <v>14322703</v>
      </c>
      <c r="F14" s="57">
        <v>14178789</v>
      </c>
      <c r="G14" s="57">
        <v>10196802</v>
      </c>
      <c r="H14" s="57">
        <v>5335029</v>
      </c>
      <c r="I14" s="57">
        <v>3764073</v>
      </c>
      <c r="J14" s="142">
        <v>11271273.801150762</v>
      </c>
      <c r="K14" s="1949">
        <v>12284232.524238391</v>
      </c>
      <c r="L14" s="57">
        <v>3638</v>
      </c>
      <c r="M14" s="57">
        <v>3602</v>
      </c>
      <c r="N14" s="57">
        <v>2459</v>
      </c>
      <c r="O14" s="57">
        <v>1305</v>
      </c>
      <c r="P14" s="57">
        <v>920.76742124899965</v>
      </c>
      <c r="Q14" s="678">
        <v>2757.1789972374991</v>
      </c>
      <c r="R14" s="1954">
        <v>3004.9689600791953</v>
      </c>
      <c r="S14" s="57">
        <v>3638</v>
      </c>
      <c r="T14" s="663">
        <v>3602</v>
      </c>
      <c r="U14" s="57">
        <v>2459</v>
      </c>
      <c r="V14" s="57">
        <v>1305</v>
      </c>
      <c r="W14" s="57">
        <v>920.76742124899965</v>
      </c>
      <c r="X14" s="678">
        <v>2757.1789972374991</v>
      </c>
      <c r="Y14" s="1954">
        <v>3004.9689600791953</v>
      </c>
      <c r="Z14" s="1947"/>
      <c r="AA14" s="57">
        <v>2325903</v>
      </c>
      <c r="AB14" s="57">
        <v>2513700</v>
      </c>
      <c r="AC14" s="57">
        <v>946871</v>
      </c>
      <c r="AD14" s="57">
        <v>55564</v>
      </c>
      <c r="AE14" s="57">
        <v>192098.80655629141</v>
      </c>
      <c r="AF14" s="142">
        <v>232839.98366445917</v>
      </c>
      <c r="AG14" s="1949">
        <v>222148.03698716371</v>
      </c>
      <c r="AH14" s="3143">
        <v>591</v>
      </c>
      <c r="AI14" s="57">
        <v>639</v>
      </c>
      <c r="AJ14" s="57">
        <v>243</v>
      </c>
      <c r="AK14" s="57">
        <v>14</v>
      </c>
      <c r="AL14" s="57">
        <v>46.991210059800004</v>
      </c>
      <c r="AM14" s="678">
        <v>56.957316804000001</v>
      </c>
      <c r="AN14" s="1954">
        <v>54.341852807799988</v>
      </c>
      <c r="AO14" s="3147">
        <v>591</v>
      </c>
      <c r="AP14" s="663">
        <v>639</v>
      </c>
      <c r="AQ14" s="57" t="s">
        <v>498</v>
      </c>
      <c r="AR14" s="57">
        <v>14</v>
      </c>
      <c r="AS14" s="57">
        <v>46.991210059800004</v>
      </c>
      <c r="AT14" s="678">
        <v>56.957316804000001</v>
      </c>
      <c r="AU14" s="1954">
        <v>54.341852807799988</v>
      </c>
      <c r="AV14" s="1947"/>
      <c r="AW14" s="57">
        <v>11722301</v>
      </c>
      <c r="AX14" s="57">
        <v>9695231</v>
      </c>
      <c r="AY14" s="57">
        <v>7323867</v>
      </c>
      <c r="AZ14" s="57">
        <v>3762492</v>
      </c>
      <c r="BA14" s="57">
        <v>2210345</v>
      </c>
      <c r="BB14" s="142">
        <v>8679591.0999730173</v>
      </c>
      <c r="BC14" s="1949">
        <v>9985048.4461458456</v>
      </c>
      <c r="BD14" s="57">
        <v>2977.82</v>
      </c>
      <c r="BE14" s="57">
        <v>2463.4899999999998</v>
      </c>
      <c r="BF14" s="57">
        <v>1766.15</v>
      </c>
      <c r="BG14" s="57">
        <v>920</v>
      </c>
      <c r="BH14" s="57">
        <v>540.69450977070005</v>
      </c>
      <c r="BI14" s="678">
        <v>2123.2015748753993</v>
      </c>
      <c r="BJ14" s="1954">
        <v>2442.5425508961966</v>
      </c>
      <c r="BK14" s="663">
        <v>2978</v>
      </c>
      <c r="BL14" s="663">
        <v>2463</v>
      </c>
      <c r="BM14" s="57">
        <v>1766</v>
      </c>
      <c r="BN14" s="57">
        <v>920</v>
      </c>
      <c r="BO14" s="57">
        <v>540.69450977070005</v>
      </c>
      <c r="BP14" s="678">
        <v>2123.2015748753993</v>
      </c>
      <c r="BQ14" s="1954">
        <v>2442.5425508961966</v>
      </c>
      <c r="BR14" s="1947"/>
      <c r="BS14" s="57">
        <v>2600402</v>
      </c>
      <c r="BT14" s="57">
        <v>1957541</v>
      </c>
      <c r="BU14" s="57">
        <v>2849909</v>
      </c>
      <c r="BV14" s="57">
        <v>1516973</v>
      </c>
      <c r="BW14" s="57">
        <v>1361629</v>
      </c>
      <c r="BX14" s="142">
        <v>2358842.7175132907</v>
      </c>
      <c r="BY14" s="1949">
        <v>2077036.0411053884</v>
      </c>
      <c r="BZ14" s="3143">
        <v>661</v>
      </c>
      <c r="CA14" s="57">
        <v>497</v>
      </c>
      <c r="CB14" s="57">
        <v>687.3</v>
      </c>
      <c r="CC14" s="57">
        <v>371</v>
      </c>
      <c r="CD14" s="57">
        <v>333.08170141849973</v>
      </c>
      <c r="CE14" s="678">
        <v>577.02010555810114</v>
      </c>
      <c r="CF14" s="1954">
        <v>508.08455637520012</v>
      </c>
      <c r="CG14" s="3147">
        <v>661</v>
      </c>
      <c r="CH14" s="663">
        <v>497</v>
      </c>
      <c r="CI14" s="57">
        <v>687</v>
      </c>
      <c r="CJ14" s="57">
        <v>371</v>
      </c>
      <c r="CK14" s="57">
        <v>333.08170141849973</v>
      </c>
      <c r="CL14" s="678">
        <v>577.02010555810114</v>
      </c>
      <c r="CM14" s="1954">
        <v>508.08455637520012</v>
      </c>
      <c r="CN14" s="663"/>
      <c r="CO14" s="57"/>
      <c r="CP14" s="57"/>
      <c r="CQ14" s="57"/>
      <c r="CR14" s="984"/>
      <c r="CS14" s="994"/>
      <c r="CT14" s="663"/>
      <c r="CU14" s="57"/>
      <c r="CV14" s="57"/>
      <c r="CW14" s="57"/>
      <c r="CX14" s="984"/>
      <c r="CY14" s="994"/>
      <c r="CZ14" s="663"/>
      <c r="DA14" s="57"/>
      <c r="DB14" s="57"/>
      <c r="DC14" s="57"/>
      <c r="DD14" s="984"/>
      <c r="DE14" s="1005"/>
    </row>
    <row r="15" spans="1:109">
      <c r="A15" s="1936"/>
      <c r="B15" s="3673"/>
      <c r="C15" s="3685"/>
      <c r="D15" s="1948" t="s">
        <v>506</v>
      </c>
      <c r="E15" s="57">
        <v>2325903</v>
      </c>
      <c r="F15" s="57" t="s">
        <v>498</v>
      </c>
      <c r="G15" s="57">
        <v>946871</v>
      </c>
      <c r="H15" s="57">
        <v>2615143</v>
      </c>
      <c r="I15" s="57">
        <v>3238983</v>
      </c>
      <c r="J15" s="142">
        <v>4292356.599103827</v>
      </c>
      <c r="K15" s="1949">
        <v>5138713.7721771328</v>
      </c>
      <c r="L15" s="57">
        <v>591</v>
      </c>
      <c r="M15" s="57" t="s">
        <v>498</v>
      </c>
      <c r="N15" s="57">
        <v>243</v>
      </c>
      <c r="O15" s="57">
        <v>671</v>
      </c>
      <c r="P15" s="57">
        <v>831.64119179520026</v>
      </c>
      <c r="Q15" s="678">
        <v>1102.1054803858985</v>
      </c>
      <c r="R15" s="1954">
        <v>1319.4161481442004</v>
      </c>
      <c r="S15" s="57">
        <v>591</v>
      </c>
      <c r="T15" s="663" t="s">
        <v>498</v>
      </c>
      <c r="U15" s="57">
        <v>243</v>
      </c>
      <c r="V15" s="57">
        <v>671</v>
      </c>
      <c r="W15" s="57">
        <v>831.64119179520026</v>
      </c>
      <c r="X15" s="678">
        <v>1102.1054803858985</v>
      </c>
      <c r="Y15" s="1954">
        <v>1319.4161481442004</v>
      </c>
      <c r="Z15" s="1947"/>
      <c r="AA15" s="661" t="s">
        <v>132</v>
      </c>
      <c r="AB15" s="57" t="s">
        <v>498</v>
      </c>
      <c r="AD15" s="57">
        <v>563266</v>
      </c>
      <c r="AE15" s="57">
        <v>1165237.4841938</v>
      </c>
      <c r="AF15" s="142">
        <v>996027.41860102839</v>
      </c>
      <c r="AG15" s="1949">
        <v>1179519.1519707118</v>
      </c>
      <c r="AI15" s="57" t="s">
        <v>498</v>
      </c>
      <c r="AJ15" s="661" t="s">
        <v>132</v>
      </c>
      <c r="AK15" s="57">
        <v>144.62418400000001</v>
      </c>
      <c r="AL15" s="57">
        <v>299.18637644160003</v>
      </c>
      <c r="AM15" s="678">
        <v>255.74</v>
      </c>
      <c r="AN15" s="1954">
        <v>302.85333745999998</v>
      </c>
      <c r="AO15" s="661" t="s">
        <v>132</v>
      </c>
      <c r="AP15" s="663" t="s">
        <v>498</v>
      </c>
      <c r="AQ15" s="57">
        <v>243</v>
      </c>
      <c r="AR15" s="57">
        <v>145</v>
      </c>
      <c r="AS15" s="57">
        <v>299.18637644160003</v>
      </c>
      <c r="AT15" s="678">
        <v>255.74</v>
      </c>
      <c r="AU15" s="1954">
        <v>302.85333745999998</v>
      </c>
      <c r="AV15" s="1947"/>
      <c r="AW15" s="57" t="s">
        <v>498</v>
      </c>
      <c r="AX15" s="57" t="s">
        <v>498</v>
      </c>
      <c r="AY15" s="57" t="s">
        <v>498</v>
      </c>
      <c r="AZ15" s="57">
        <v>1532583</v>
      </c>
      <c r="BA15" s="57">
        <v>1253365</v>
      </c>
      <c r="BB15" s="142">
        <v>2452579.3565142537</v>
      </c>
      <c r="BC15" s="1949">
        <v>3013379.4284261577</v>
      </c>
      <c r="BD15" s="57" t="s">
        <v>498</v>
      </c>
      <c r="BE15" s="57" t="s">
        <v>498</v>
      </c>
      <c r="BF15" s="57" t="s">
        <v>498</v>
      </c>
      <c r="BG15" s="57">
        <v>394</v>
      </c>
      <c r="BH15" s="57">
        <v>321.81407301759998</v>
      </c>
      <c r="BI15" s="678">
        <v>629.72427557859965</v>
      </c>
      <c r="BJ15" s="1954">
        <v>773.71530204270016</v>
      </c>
      <c r="BK15" s="663" t="s">
        <v>498</v>
      </c>
      <c r="BL15" s="663" t="s">
        <v>498</v>
      </c>
      <c r="BM15" s="57" t="s">
        <v>498</v>
      </c>
      <c r="BN15" s="57">
        <v>394</v>
      </c>
      <c r="BO15" s="57">
        <v>321.81407301759998</v>
      </c>
      <c r="BP15" s="678">
        <v>629.72427557859965</v>
      </c>
      <c r="BQ15" s="1954">
        <v>773.71530204270016</v>
      </c>
      <c r="BR15" s="1947"/>
      <c r="BS15" s="57" t="s">
        <v>498</v>
      </c>
      <c r="BT15" s="57">
        <v>0</v>
      </c>
      <c r="BU15" s="57" t="s">
        <v>498</v>
      </c>
      <c r="BV15" s="57">
        <v>519294</v>
      </c>
      <c r="BW15" s="57">
        <v>820380</v>
      </c>
      <c r="BX15" s="142">
        <v>843749.82398854801</v>
      </c>
      <c r="BY15" s="1949">
        <v>945815.19178026309</v>
      </c>
      <c r="BZ15" s="3143" t="s">
        <v>498</v>
      </c>
      <c r="CA15" s="57" t="s">
        <v>498</v>
      </c>
      <c r="CB15" s="57" t="s">
        <v>498</v>
      </c>
      <c r="CC15" s="57">
        <v>133</v>
      </c>
      <c r="CD15" s="57">
        <v>210.64074233600019</v>
      </c>
      <c r="CE15" s="678">
        <v>216.64120480729957</v>
      </c>
      <c r="CF15" s="1954">
        <v>242.84750864150033</v>
      </c>
      <c r="CG15" s="3147" t="s">
        <v>498</v>
      </c>
      <c r="CH15" s="663" t="s">
        <v>498</v>
      </c>
      <c r="CI15" s="57" t="s">
        <v>498</v>
      </c>
      <c r="CJ15" s="57">
        <v>133</v>
      </c>
      <c r="CK15" s="57">
        <v>210.64074233600019</v>
      </c>
      <c r="CL15" s="678">
        <v>216.64120480729957</v>
      </c>
      <c r="CM15" s="1954">
        <v>242.84750864150033</v>
      </c>
      <c r="CN15" s="663"/>
      <c r="CO15" s="57"/>
      <c r="CP15" s="57"/>
      <c r="CQ15" s="57"/>
      <c r="CR15" s="984"/>
      <c r="CS15" s="994"/>
      <c r="CT15" s="663"/>
      <c r="CU15" s="57"/>
      <c r="CV15" s="57"/>
      <c r="CW15" s="57"/>
      <c r="CX15" s="984"/>
      <c r="CY15" s="994"/>
      <c r="CZ15" s="663"/>
      <c r="DA15" s="57"/>
      <c r="DB15" s="57"/>
      <c r="DC15" s="57"/>
      <c r="DD15" s="984"/>
      <c r="DE15" s="1005"/>
    </row>
    <row r="16" spans="1:109">
      <c r="A16" s="1936"/>
      <c r="B16" s="3673"/>
      <c r="C16" s="3685"/>
      <c r="D16" s="1948" t="s">
        <v>507</v>
      </c>
      <c r="E16" s="57">
        <v>336018</v>
      </c>
      <c r="F16" s="57">
        <v>429323</v>
      </c>
      <c r="G16" s="57">
        <v>180246</v>
      </c>
      <c r="H16" s="57">
        <v>136658</v>
      </c>
      <c r="I16" s="57">
        <v>56891</v>
      </c>
      <c r="J16" s="142">
        <v>138991.83655328801</v>
      </c>
      <c r="K16" s="1949">
        <v>147418.58975826809</v>
      </c>
      <c r="L16" s="57">
        <v>78</v>
      </c>
      <c r="M16" s="57">
        <v>100</v>
      </c>
      <c r="N16" s="57">
        <v>41</v>
      </c>
      <c r="O16" s="57">
        <v>32</v>
      </c>
      <c r="P16" s="57">
        <v>13.2970953858</v>
      </c>
      <c r="Q16" s="678">
        <v>32.486561957600003</v>
      </c>
      <c r="R16" s="1954">
        <v>34.456146984200004</v>
      </c>
      <c r="S16" s="57">
        <v>78</v>
      </c>
      <c r="T16" s="663">
        <v>100</v>
      </c>
      <c r="U16" s="57">
        <v>41</v>
      </c>
      <c r="V16" s="57">
        <v>32</v>
      </c>
      <c r="W16" s="57">
        <v>13.2970953858</v>
      </c>
      <c r="X16" s="678">
        <v>32.486561957600003</v>
      </c>
      <c r="Y16" s="1954">
        <v>34.456146984200004</v>
      </c>
      <c r="Z16" s="1947"/>
      <c r="AA16" s="57">
        <v>10144</v>
      </c>
      <c r="AB16" s="57">
        <v>71399</v>
      </c>
      <c r="AC16" s="57" t="s">
        <v>498</v>
      </c>
      <c r="AD16" s="57">
        <v>10932</v>
      </c>
      <c r="AE16" s="57">
        <v>38019.889517819698</v>
      </c>
      <c r="AF16" s="142">
        <v>91983.128888888881</v>
      </c>
      <c r="AG16" s="1949">
        <v>73188.807456039009</v>
      </c>
      <c r="AH16" s="3143">
        <v>2</v>
      </c>
      <c r="AI16" s="57">
        <v>17</v>
      </c>
      <c r="AJ16" s="57" t="s">
        <v>498</v>
      </c>
      <c r="AK16" s="57">
        <v>3</v>
      </c>
      <c r="AL16" s="57">
        <v>8.8863887769999987</v>
      </c>
      <c r="AM16" s="678">
        <v>21.499216715199999</v>
      </c>
      <c r="AN16" s="1954">
        <v>17.106419966699999</v>
      </c>
      <c r="AO16" s="3147">
        <v>2</v>
      </c>
      <c r="AP16" s="663">
        <v>17</v>
      </c>
      <c r="AQ16" s="57" t="s">
        <v>498</v>
      </c>
      <c r="AR16" s="57">
        <v>3</v>
      </c>
      <c r="AS16" s="57">
        <v>8.8863887769999987</v>
      </c>
      <c r="AT16" s="678">
        <v>21.499216715199999</v>
      </c>
      <c r="AU16" s="1954">
        <v>17.106419966699999</v>
      </c>
      <c r="AV16" s="1947"/>
      <c r="AW16" s="57" t="s">
        <v>498</v>
      </c>
      <c r="AX16" s="57" t="s">
        <v>498</v>
      </c>
      <c r="AY16" s="57" t="s">
        <v>498</v>
      </c>
      <c r="AZ16" s="57" t="s">
        <v>498</v>
      </c>
      <c r="BA16" s="57" t="s">
        <v>498</v>
      </c>
      <c r="BB16" s="142">
        <v>0</v>
      </c>
      <c r="BC16" s="1949" t="s">
        <v>132</v>
      </c>
      <c r="BD16" s="57" t="s">
        <v>498</v>
      </c>
      <c r="BE16" s="57" t="s">
        <v>498</v>
      </c>
      <c r="BF16" s="57" t="s">
        <v>498</v>
      </c>
      <c r="BG16" s="57" t="s">
        <v>498</v>
      </c>
      <c r="BH16" s="57" t="s">
        <v>132</v>
      </c>
      <c r="BI16" s="678" t="s">
        <v>132</v>
      </c>
      <c r="BJ16" s="1954" t="s">
        <v>132</v>
      </c>
      <c r="BK16" s="663" t="s">
        <v>498</v>
      </c>
      <c r="BL16" s="663" t="s">
        <v>498</v>
      </c>
      <c r="BM16" s="57" t="s">
        <v>498</v>
      </c>
      <c r="BN16" s="57" t="s">
        <v>498</v>
      </c>
      <c r="BO16" s="57" t="s">
        <v>132</v>
      </c>
      <c r="BP16" s="678" t="s">
        <v>132</v>
      </c>
      <c r="BQ16" s="1954" t="s">
        <v>132</v>
      </c>
      <c r="BR16" s="1947"/>
      <c r="BS16" s="57">
        <v>325874</v>
      </c>
      <c r="BT16" s="663">
        <v>332117</v>
      </c>
      <c r="BU16" s="57">
        <v>120892</v>
      </c>
      <c r="BV16" s="57">
        <v>125726</v>
      </c>
      <c r="BW16" s="57">
        <v>18871</v>
      </c>
      <c r="BX16" s="142">
        <v>47008.707664399109</v>
      </c>
      <c r="BY16" s="1949">
        <v>45050.344955290297</v>
      </c>
      <c r="BZ16" s="3143">
        <v>76</v>
      </c>
      <c r="CA16" s="1950">
        <v>78</v>
      </c>
      <c r="CB16" s="1950">
        <v>27.5</v>
      </c>
      <c r="CC16" s="1950">
        <v>29</v>
      </c>
      <c r="CD16" s="1950">
        <v>4.4107066088000009</v>
      </c>
      <c r="CE16" s="1952">
        <v>10.987345242400004</v>
      </c>
      <c r="CF16" s="1953">
        <v>10.529617126400002</v>
      </c>
      <c r="CG16" s="3147">
        <v>76</v>
      </c>
      <c r="CH16" s="663">
        <v>78</v>
      </c>
      <c r="CI16" s="57">
        <v>27</v>
      </c>
      <c r="CJ16" s="57">
        <v>29</v>
      </c>
      <c r="CK16" s="57">
        <v>4.4107066088000009</v>
      </c>
      <c r="CL16" s="678">
        <v>10.987345242400004</v>
      </c>
      <c r="CM16" s="1954">
        <v>10.529617126400002</v>
      </c>
      <c r="CN16" s="663"/>
      <c r="CO16" s="57"/>
      <c r="CP16" s="57"/>
      <c r="CQ16" s="57"/>
      <c r="CR16" s="984"/>
      <c r="CS16" s="994"/>
      <c r="CT16" s="663"/>
      <c r="CU16" s="57"/>
      <c r="CV16" s="57"/>
      <c r="CW16" s="57"/>
      <c r="CX16" s="984"/>
      <c r="CY16" s="994"/>
      <c r="CZ16" s="663"/>
      <c r="DA16" s="57"/>
      <c r="DB16" s="57"/>
      <c r="DC16" s="57"/>
      <c r="DD16" s="984"/>
      <c r="DE16" s="1005"/>
    </row>
    <row r="17" spans="1:110" ht="14.45" thickBot="1">
      <c r="A17" s="1936"/>
      <c r="B17" s="3673"/>
      <c r="C17" s="3686"/>
      <c r="D17" s="1956" t="s">
        <v>508</v>
      </c>
      <c r="E17" s="3140" t="s">
        <v>498</v>
      </c>
      <c r="F17" s="1957" t="s">
        <v>498</v>
      </c>
      <c r="G17" s="57" t="s">
        <v>498</v>
      </c>
      <c r="H17" s="57">
        <v>540340</v>
      </c>
      <c r="I17" s="57">
        <v>764088</v>
      </c>
      <c r="J17" s="142">
        <v>1239538.3167511406</v>
      </c>
      <c r="K17" s="1949">
        <v>1249101.0542243491</v>
      </c>
      <c r="L17" s="1957" t="s">
        <v>498</v>
      </c>
      <c r="M17" s="1957" t="s">
        <v>498</v>
      </c>
      <c r="N17" s="57" t="s">
        <v>498</v>
      </c>
      <c r="O17" s="57">
        <v>132</v>
      </c>
      <c r="P17" s="57">
        <v>191.01318980711503</v>
      </c>
      <c r="Q17" s="678">
        <v>316.37433719202744</v>
      </c>
      <c r="R17" s="1954">
        <v>306.07555865695372</v>
      </c>
      <c r="S17" s="1957" t="s">
        <v>498</v>
      </c>
      <c r="T17" s="1957" t="s">
        <v>498</v>
      </c>
      <c r="U17" s="57" t="s">
        <v>498</v>
      </c>
      <c r="V17" s="57">
        <v>132</v>
      </c>
      <c r="W17" s="57">
        <v>191.01318980711503</v>
      </c>
      <c r="X17" s="678">
        <v>316.37433719202744</v>
      </c>
      <c r="Y17" s="1958">
        <v>306.07555865695372</v>
      </c>
      <c r="Z17" s="1947"/>
      <c r="AA17" s="1957" t="s">
        <v>498</v>
      </c>
      <c r="AB17" s="1957" t="s">
        <v>498</v>
      </c>
      <c r="AC17" s="57" t="s">
        <v>498</v>
      </c>
      <c r="AD17" s="57">
        <v>143761</v>
      </c>
      <c r="AE17" s="57">
        <v>150213.76050011127</v>
      </c>
      <c r="AF17" s="142">
        <v>255915.61808377807</v>
      </c>
      <c r="AG17" s="1949">
        <v>273817.28881694609</v>
      </c>
      <c r="AH17" s="3144" t="s">
        <v>498</v>
      </c>
      <c r="AI17" s="1957" t="s">
        <v>498</v>
      </c>
      <c r="AJ17" s="57" t="s">
        <v>498</v>
      </c>
      <c r="AK17" s="57">
        <v>37</v>
      </c>
      <c r="AL17" s="57">
        <v>38.20384</v>
      </c>
      <c r="AM17" s="678">
        <v>64.699539999999985</v>
      </c>
      <c r="AN17" s="1954">
        <v>69.402529999999985</v>
      </c>
      <c r="AO17" s="3148" t="s">
        <v>498</v>
      </c>
      <c r="AP17" s="1957" t="s">
        <v>498</v>
      </c>
      <c r="AQ17" s="57" t="s">
        <v>498</v>
      </c>
      <c r="AR17" s="57">
        <v>37</v>
      </c>
      <c r="AS17" s="57">
        <v>38.20384</v>
      </c>
      <c r="AT17" s="678">
        <v>64.699539999999985</v>
      </c>
      <c r="AU17" s="1958">
        <v>69.402529999999985</v>
      </c>
      <c r="AV17" s="1947"/>
      <c r="AW17" s="1957" t="s">
        <v>498</v>
      </c>
      <c r="AX17" s="1957" t="s">
        <v>498</v>
      </c>
      <c r="AY17" s="57" t="s">
        <v>498</v>
      </c>
      <c r="AZ17" s="57">
        <v>256296</v>
      </c>
      <c r="BA17" s="57">
        <v>314241</v>
      </c>
      <c r="BB17" s="142">
        <v>570027.23395832779</v>
      </c>
      <c r="BC17" s="1949">
        <v>601499.24846680672</v>
      </c>
      <c r="BD17" s="1957" t="s">
        <v>498</v>
      </c>
      <c r="BE17" s="1957" t="s">
        <v>498</v>
      </c>
      <c r="BF17" s="57" t="s">
        <v>498</v>
      </c>
      <c r="BG17" s="57">
        <v>64</v>
      </c>
      <c r="BH17" s="57">
        <v>78.221616364185962</v>
      </c>
      <c r="BI17" s="678">
        <v>146.35774219317071</v>
      </c>
      <c r="BJ17" s="1954">
        <v>148.73668621073168</v>
      </c>
      <c r="BK17" s="1957" t="s">
        <v>498</v>
      </c>
      <c r="BL17" s="1957" t="s">
        <v>498</v>
      </c>
      <c r="BM17" s="57" t="s">
        <v>498</v>
      </c>
      <c r="BN17" s="57">
        <v>64</v>
      </c>
      <c r="BO17" s="57">
        <v>78.221616364185962</v>
      </c>
      <c r="BP17" s="678">
        <v>146.35774219317071</v>
      </c>
      <c r="BQ17" s="1958">
        <v>148.73668621073168</v>
      </c>
      <c r="BR17" s="1947"/>
      <c r="BS17" s="1957" t="s">
        <v>498</v>
      </c>
      <c r="BT17" s="1957">
        <v>0</v>
      </c>
      <c r="BU17" s="57" t="s">
        <v>498</v>
      </c>
      <c r="BV17" s="57">
        <v>130248</v>
      </c>
      <c r="BW17" s="57">
        <v>295459</v>
      </c>
      <c r="BX17" s="142">
        <v>372002.06958193454</v>
      </c>
      <c r="BY17" s="1949">
        <v>325535.16930790752</v>
      </c>
      <c r="BZ17" s="3149" t="s">
        <v>498</v>
      </c>
      <c r="CA17" s="2048" t="s">
        <v>498</v>
      </c>
      <c r="CB17" s="57" t="s">
        <v>498</v>
      </c>
      <c r="CC17" s="57">
        <v>32</v>
      </c>
      <c r="CD17" s="57">
        <v>73.553333442929059</v>
      </c>
      <c r="CE17" s="678">
        <v>94.855879139417823</v>
      </c>
      <c r="CF17" s="1954">
        <v>80.725999999999999</v>
      </c>
      <c r="CG17" s="3148" t="s">
        <v>498</v>
      </c>
      <c r="CH17" s="1957" t="s">
        <v>498</v>
      </c>
      <c r="CI17" s="57" t="s">
        <v>498</v>
      </c>
      <c r="CJ17" s="57">
        <v>32</v>
      </c>
      <c r="CK17" s="57">
        <v>73.553333442929059</v>
      </c>
      <c r="CL17" s="678">
        <v>94.855879139417823</v>
      </c>
      <c r="CM17" s="1958">
        <v>80.725999999999999</v>
      </c>
      <c r="CN17" s="664"/>
      <c r="CO17" s="664"/>
      <c r="CP17" s="489"/>
      <c r="CQ17" s="489"/>
      <c r="CR17" s="996"/>
      <c r="CS17" s="997"/>
      <c r="CT17" s="664"/>
      <c r="CU17" s="664"/>
      <c r="CV17" s="489"/>
      <c r="CW17" s="489"/>
      <c r="CX17" s="996"/>
      <c r="CY17" s="997"/>
      <c r="CZ17" s="664"/>
      <c r="DA17" s="664"/>
      <c r="DB17" s="489"/>
      <c r="DC17" s="489"/>
      <c r="DD17" s="996"/>
      <c r="DE17" s="1898"/>
      <c r="DF17" s="1901"/>
    </row>
    <row r="18" spans="1:110" ht="14.45" thickBot="1">
      <c r="A18" s="1936"/>
      <c r="B18" s="3674"/>
      <c r="C18" s="3701" t="s">
        <v>509</v>
      </c>
      <c r="D18" s="1948" t="s">
        <v>510</v>
      </c>
      <c r="E18" s="3141" t="s">
        <v>132</v>
      </c>
      <c r="F18" s="663" t="s">
        <v>132</v>
      </c>
      <c r="G18" s="488" t="s">
        <v>132</v>
      </c>
      <c r="H18" s="488" t="s">
        <v>132</v>
      </c>
      <c r="I18" s="488" t="s">
        <v>132</v>
      </c>
      <c r="J18" s="488" t="s">
        <v>132</v>
      </c>
      <c r="K18" s="1959" t="s">
        <v>132</v>
      </c>
      <c r="L18" s="663">
        <v>471</v>
      </c>
      <c r="M18" s="663">
        <v>253</v>
      </c>
      <c r="N18" s="488">
        <v>508</v>
      </c>
      <c r="O18" s="488">
        <v>96</v>
      </c>
      <c r="P18" s="488">
        <v>293.80411199999998</v>
      </c>
      <c r="Q18" s="488">
        <v>70.28091839999999</v>
      </c>
      <c r="R18" s="1959"/>
      <c r="S18" s="663">
        <v>471</v>
      </c>
      <c r="T18" s="663">
        <v>252.55500000000001</v>
      </c>
      <c r="U18" s="488">
        <v>508.05900000000003</v>
      </c>
      <c r="V18" s="488">
        <v>96</v>
      </c>
      <c r="W18" s="488">
        <v>293.80411199999998</v>
      </c>
      <c r="X18" s="488">
        <v>70.28091839999999</v>
      </c>
      <c r="Y18" s="488" t="s">
        <v>132</v>
      </c>
      <c r="Z18" s="1947"/>
      <c r="AA18" s="663" t="s">
        <v>511</v>
      </c>
      <c r="AB18" s="663" t="s">
        <v>132</v>
      </c>
      <c r="AC18" s="488" t="s">
        <v>511</v>
      </c>
      <c r="AD18" s="488"/>
      <c r="AE18" s="488"/>
      <c r="AF18" s="488"/>
      <c r="AG18" s="1959"/>
      <c r="AH18" s="3145">
        <v>129.1</v>
      </c>
      <c r="AI18" s="663">
        <v>73</v>
      </c>
      <c r="AJ18" s="488">
        <v>97</v>
      </c>
      <c r="AK18" s="488">
        <v>0.17</v>
      </c>
      <c r="AL18" s="488">
        <v>0.24303999999999998</v>
      </c>
      <c r="AM18" s="488">
        <v>8.6626400000000006E-2</v>
      </c>
      <c r="AN18" s="1959"/>
      <c r="AO18" s="3145">
        <v>129.1</v>
      </c>
      <c r="AP18" s="663">
        <v>73</v>
      </c>
      <c r="AQ18" s="488">
        <v>97</v>
      </c>
      <c r="AR18" s="488" t="s">
        <v>132</v>
      </c>
      <c r="AS18" s="488" t="s">
        <v>132</v>
      </c>
      <c r="AT18" s="488" t="s">
        <v>132</v>
      </c>
      <c r="AU18" s="488"/>
      <c r="AV18" s="1947"/>
      <c r="AW18" s="663"/>
      <c r="AX18" s="663" t="s">
        <v>498</v>
      </c>
      <c r="AY18" s="488" t="s">
        <v>498</v>
      </c>
      <c r="AZ18" s="488"/>
      <c r="BA18" s="488"/>
      <c r="BB18" s="488"/>
      <c r="BC18" s="1959"/>
      <c r="BD18" s="663">
        <v>278</v>
      </c>
      <c r="BE18" s="663">
        <v>154</v>
      </c>
      <c r="BF18" s="488">
        <v>276</v>
      </c>
      <c r="BG18" s="488">
        <v>86</v>
      </c>
      <c r="BH18" s="488">
        <v>221.391212</v>
      </c>
      <c r="BI18" s="488">
        <v>62.808479999999996</v>
      </c>
      <c r="BJ18" s="1959"/>
      <c r="BK18" s="663">
        <v>278</v>
      </c>
      <c r="BL18" s="663">
        <v>154</v>
      </c>
      <c r="BM18" s="488">
        <v>276</v>
      </c>
      <c r="BN18" s="488">
        <v>86</v>
      </c>
      <c r="BO18" s="488">
        <v>221.391212</v>
      </c>
      <c r="BP18" s="488">
        <v>62.808479999999996</v>
      </c>
      <c r="BQ18" s="488"/>
      <c r="BR18" s="1947"/>
      <c r="BS18" s="663"/>
      <c r="BT18" s="663"/>
      <c r="BU18" s="488"/>
      <c r="BV18" s="488"/>
      <c r="BW18" s="488"/>
      <c r="BX18" s="488"/>
      <c r="BY18" s="1959"/>
      <c r="BZ18" s="3150">
        <v>64</v>
      </c>
      <c r="CA18" s="57">
        <v>26</v>
      </c>
      <c r="CB18" s="488">
        <v>134</v>
      </c>
      <c r="CC18" s="488">
        <v>10</v>
      </c>
      <c r="CD18" s="488">
        <v>72.16986</v>
      </c>
      <c r="CE18" s="488">
        <v>7.3858119999999996</v>
      </c>
      <c r="CF18" s="1959"/>
      <c r="CG18" s="3145">
        <v>64</v>
      </c>
      <c r="CH18" s="663">
        <v>26</v>
      </c>
      <c r="CI18" s="488">
        <v>134</v>
      </c>
      <c r="CJ18" s="488">
        <v>10</v>
      </c>
      <c r="CK18" s="488">
        <v>72.16986</v>
      </c>
      <c r="CL18" s="1960">
        <v>7.3858119999999996</v>
      </c>
      <c r="CM18" s="488" t="s">
        <v>132</v>
      </c>
      <c r="CN18" s="1274"/>
      <c r="CO18" s="1274"/>
      <c r="CP18" s="1275"/>
      <c r="CQ18" s="1275"/>
      <c r="CR18" s="1276"/>
      <c r="CS18" s="1277"/>
      <c r="CT18" s="1274"/>
      <c r="CU18" s="1274"/>
      <c r="CV18" s="1275"/>
      <c r="CW18" s="1275"/>
      <c r="CX18" s="1276"/>
      <c r="CY18" s="1277"/>
      <c r="CZ18" s="1274"/>
      <c r="DA18" s="1274"/>
      <c r="DB18" s="1275"/>
      <c r="DC18" s="1275"/>
      <c r="DD18" s="1276"/>
      <c r="DE18" s="1898"/>
      <c r="DF18" s="1901"/>
    </row>
    <row r="19" spans="1:110" ht="14.45" thickBot="1">
      <c r="A19" s="1936"/>
      <c r="B19" s="3674"/>
      <c r="C19" s="3686"/>
      <c r="D19" s="3420" t="s">
        <v>512</v>
      </c>
      <c r="E19" s="3421" t="s">
        <v>132</v>
      </c>
      <c r="F19" s="1274" t="s">
        <v>132</v>
      </c>
      <c r="G19" s="1274" t="s">
        <v>132</v>
      </c>
      <c r="H19" s="1274" t="s">
        <v>132</v>
      </c>
      <c r="I19" s="1274" t="s">
        <v>132</v>
      </c>
      <c r="J19" s="1274" t="s">
        <v>132</v>
      </c>
      <c r="K19" s="1961" t="s">
        <v>132</v>
      </c>
      <c r="L19" s="1274">
        <v>211</v>
      </c>
      <c r="M19" s="489">
        <v>496</v>
      </c>
      <c r="N19" s="1274">
        <v>1913</v>
      </c>
      <c r="O19" s="1274">
        <v>1225</v>
      </c>
      <c r="P19" s="1274">
        <v>1265.0257999999999</v>
      </c>
      <c r="Q19" s="1274">
        <v>1437.5391999999999</v>
      </c>
      <c r="R19" s="1962"/>
      <c r="S19" s="1274">
        <v>211</v>
      </c>
      <c r="T19" s="1274">
        <v>496</v>
      </c>
      <c r="U19" s="1274">
        <v>1913</v>
      </c>
      <c r="V19" s="1274">
        <v>1225</v>
      </c>
      <c r="W19" s="1274">
        <v>1265.0257999999999</v>
      </c>
      <c r="X19" s="1274">
        <v>1437.5391999999999</v>
      </c>
      <c r="Y19" s="1274" t="s">
        <v>132</v>
      </c>
      <c r="Z19" s="1947"/>
      <c r="AA19" s="1274"/>
      <c r="AB19" s="1274" t="s">
        <v>132</v>
      </c>
      <c r="AC19" s="1274"/>
      <c r="AD19" s="1274"/>
      <c r="AE19" s="1274"/>
      <c r="AF19" s="1274"/>
      <c r="AG19" s="1961"/>
      <c r="AH19" s="3146">
        <v>18</v>
      </c>
      <c r="AI19" s="1274">
        <v>18</v>
      </c>
      <c r="AJ19" s="1274">
        <v>14</v>
      </c>
      <c r="AK19" s="1274">
        <v>12.32</v>
      </c>
      <c r="AL19" s="1274">
        <v>941.43659999999988</v>
      </c>
      <c r="AM19" s="1274">
        <v>291.33359999999999</v>
      </c>
      <c r="AN19" s="1962"/>
      <c r="AO19" s="3146">
        <v>18</v>
      </c>
      <c r="AP19" s="1274">
        <v>18</v>
      </c>
      <c r="AQ19" s="1274">
        <v>14</v>
      </c>
      <c r="AR19" s="1274">
        <v>12.32</v>
      </c>
      <c r="AS19" s="1274">
        <v>941.43659999999988</v>
      </c>
      <c r="AT19" s="1274">
        <v>291.33359999999999</v>
      </c>
      <c r="AU19" s="1274"/>
      <c r="AV19" s="1947"/>
      <c r="AW19" s="1274"/>
      <c r="AX19" s="1274"/>
      <c r="AY19" s="1274"/>
      <c r="AZ19" s="1274"/>
      <c r="BA19" s="1274"/>
      <c r="BB19" s="1274"/>
      <c r="BC19" s="1961"/>
      <c r="BD19" s="1274">
        <v>113</v>
      </c>
      <c r="BE19" s="1274">
        <v>463</v>
      </c>
      <c r="BF19" s="1274">
        <v>1109</v>
      </c>
      <c r="BG19" s="1274">
        <v>758</v>
      </c>
      <c r="BH19" s="1274">
        <v>40.751799999999996</v>
      </c>
      <c r="BI19" s="1274">
        <v>505.08960000000002</v>
      </c>
      <c r="BJ19" s="1962"/>
      <c r="BK19" s="1274">
        <v>113</v>
      </c>
      <c r="BL19" s="1274">
        <v>463</v>
      </c>
      <c r="BM19" s="1274">
        <v>1109</v>
      </c>
      <c r="BN19" s="1274">
        <v>758</v>
      </c>
      <c r="BO19" s="1274">
        <v>40.751799999999996</v>
      </c>
      <c r="BP19" s="1274">
        <v>505.08960000000002</v>
      </c>
      <c r="BQ19" s="1274"/>
      <c r="BR19" s="1947"/>
      <c r="BS19" s="1274"/>
      <c r="BT19" s="1274"/>
      <c r="BU19" s="1274"/>
      <c r="BV19" s="1274"/>
      <c r="BW19" s="1274"/>
      <c r="BX19" s="1274"/>
      <c r="BY19" s="1961"/>
      <c r="BZ19" s="3146">
        <v>80</v>
      </c>
      <c r="CA19" s="1275">
        <v>15</v>
      </c>
      <c r="CB19" s="1274">
        <v>789</v>
      </c>
      <c r="CC19" s="1274">
        <v>454</v>
      </c>
      <c r="CD19" s="1274">
        <v>282.8374</v>
      </c>
      <c r="CE19" s="1274">
        <v>641.11599999999999</v>
      </c>
      <c r="CF19" s="1962"/>
      <c r="CG19" s="3146">
        <v>80</v>
      </c>
      <c r="CH19" s="1274">
        <v>15</v>
      </c>
      <c r="CI19" s="1274">
        <v>789</v>
      </c>
      <c r="CJ19" s="1274">
        <v>454</v>
      </c>
      <c r="CK19" s="1274">
        <v>282.8374</v>
      </c>
      <c r="CL19" s="1274">
        <v>641.11599999999999</v>
      </c>
      <c r="CM19" s="1274" t="s">
        <v>132</v>
      </c>
      <c r="CN19" s="1274"/>
      <c r="CO19" s="1274"/>
      <c r="CP19" s="1275"/>
      <c r="CQ19" s="1275"/>
      <c r="CR19" s="1276"/>
      <c r="CS19" s="1277"/>
      <c r="CT19" s="1274"/>
      <c r="CU19" s="1274"/>
      <c r="CV19" s="1275"/>
      <c r="CW19" s="1275"/>
      <c r="CX19" s="1276"/>
      <c r="CY19" s="1277"/>
      <c r="CZ19" s="1274"/>
      <c r="DA19" s="1274"/>
      <c r="DB19" s="1275"/>
      <c r="DC19" s="1275"/>
      <c r="DD19" s="1276"/>
      <c r="DE19" s="1898"/>
      <c r="DF19" s="1901"/>
    </row>
    <row r="20" spans="1:110" s="667" customFormat="1" ht="14.45" thickBot="1">
      <c r="A20" s="1963"/>
      <c r="B20" s="3678"/>
      <c r="C20" s="3687" t="s">
        <v>513</v>
      </c>
      <c r="D20" s="3688"/>
      <c r="E20" s="1964">
        <f>SUM(E6:E17)</f>
        <v>75909322</v>
      </c>
      <c r="F20" s="1964">
        <f>SUM(F6:F17)</f>
        <v>71683679</v>
      </c>
      <c r="G20" s="1964">
        <f>SUM(G6:G17)</f>
        <v>75243932</v>
      </c>
      <c r="H20" s="1965">
        <f>SUM(H6:H17)</f>
        <v>73376019</v>
      </c>
      <c r="I20" s="1965">
        <f>SUM(I6:I17)</f>
        <v>73814814</v>
      </c>
      <c r="J20" s="1965">
        <f>SUM(J6:J17)</f>
        <v>71736559.82860598</v>
      </c>
      <c r="K20" s="1966">
        <v>72925087.058169723</v>
      </c>
      <c r="L20" s="1964">
        <f>SUM(L6:L19)</f>
        <v>15865.04</v>
      </c>
      <c r="M20" s="1975">
        <f>SUM(M6:M19)</f>
        <v>14757</v>
      </c>
      <c r="N20" s="1964">
        <f>SUM(N6:N19)</f>
        <v>16968.2</v>
      </c>
      <c r="O20" s="1965">
        <f>SUM(O6:O19)</f>
        <v>15233.04</v>
      </c>
      <c r="P20" s="1965">
        <f>SUM(P6:P19)</f>
        <v>15796.368307652494</v>
      </c>
      <c r="Q20" s="1965">
        <f>SUM(Q6:Q19)</f>
        <v>15750.780488455557</v>
      </c>
      <c r="R20" s="1966">
        <f>SUM(R6:R19)</f>
        <v>14681.134396050955</v>
      </c>
      <c r="S20" s="1964">
        <f>SUM(S6:S19)</f>
        <v>11557.14</v>
      </c>
      <c r="T20" s="1964">
        <f>SUM(T6:T19)</f>
        <v>12407.555</v>
      </c>
      <c r="U20" s="1964">
        <f>SUM(U6:U19)</f>
        <v>16968.258999999998</v>
      </c>
      <c r="V20" s="1965">
        <f>SUM(V6:V19)</f>
        <v>15233</v>
      </c>
      <c r="W20" s="1965">
        <f>SUM(W6:W19)</f>
        <v>15796.368307652494</v>
      </c>
      <c r="X20" s="1965">
        <f>SUM(X6:X19)</f>
        <v>15750.780488455557</v>
      </c>
      <c r="Y20" s="1966">
        <f>SUM(Y6:Y19)</f>
        <v>14681.266580250955</v>
      </c>
      <c r="Z20" s="1967"/>
      <c r="AA20" s="1964">
        <f>SUM(AA6:AA19)</f>
        <v>9076155</v>
      </c>
      <c r="AB20" s="1964">
        <f>SUM(AB6:AB19)</f>
        <v>8629490</v>
      </c>
      <c r="AC20" s="1964">
        <f>SUM(AC6:AC19)</f>
        <v>7570623</v>
      </c>
      <c r="AD20" s="1965">
        <f>SUM(AD6:AD19)</f>
        <v>8299453</v>
      </c>
      <c r="AE20" s="1965">
        <f>SUM(AE6:AE19)</f>
        <v>8378159.9081286052</v>
      </c>
      <c r="AF20" s="1965">
        <f>SUM(AF6:AF19)</f>
        <v>8462218.8470980451</v>
      </c>
      <c r="AG20" s="1968">
        <f>SUM(AG6:AG19)</f>
        <v>8211476.5449950173</v>
      </c>
      <c r="AH20" s="1964">
        <f>SUM(AH6:AH19)</f>
        <v>2004.2099999999998</v>
      </c>
      <c r="AI20" s="1964">
        <f>SUM(AI6:AI19)</f>
        <v>1907.29</v>
      </c>
      <c r="AJ20" s="1964">
        <f>SUM(AJ6:AJ19)</f>
        <v>1609.22</v>
      </c>
      <c r="AK20" s="1964">
        <f>SUM(AK6:AK19)</f>
        <v>1469.5041839999999</v>
      </c>
      <c r="AL20" s="1964">
        <f>SUM(AL6:AL19)</f>
        <v>2645.1533524403999</v>
      </c>
      <c r="AM20" s="1964">
        <f>SUM(AM6:AM19)</f>
        <v>1995.1182976994496</v>
      </c>
      <c r="AN20" s="1964">
        <f>SUM(AN6:AN19)</f>
        <v>1684.7448507178003</v>
      </c>
      <c r="AO20" s="1964">
        <f>SUM(AO6:AO19)</f>
        <v>1828.21</v>
      </c>
      <c r="AP20" s="1964">
        <f>SUM(AP6:AP19)</f>
        <v>1907.29</v>
      </c>
      <c r="AQ20" s="1964">
        <f>SUM(AQ6:AQ19)</f>
        <v>1609.01</v>
      </c>
      <c r="AR20" s="1964">
        <f>SUM(AR6:AR19)</f>
        <v>1469.6699999999998</v>
      </c>
      <c r="AS20" s="1964">
        <f>SUM(AS6:AS19)</f>
        <v>2644.8061079884001</v>
      </c>
      <c r="AT20" s="1965">
        <f>SUM(AT6:AT19)</f>
        <v>1994.9239660791998</v>
      </c>
      <c r="AU20" s="1966">
        <f>SUM(AU6:AU19)</f>
        <v>1684.5424899745003</v>
      </c>
      <c r="AV20" s="1967"/>
      <c r="AW20" s="1964">
        <f>SUM(AW6:AW19)</f>
        <v>53254532</v>
      </c>
      <c r="AX20" s="1964">
        <f>SUM(AX6:AX19)</f>
        <v>48981032</v>
      </c>
      <c r="AY20" s="1964">
        <f>SUM(AY6:AY19)</f>
        <v>53245762</v>
      </c>
      <c r="AZ20" s="1965">
        <f>SUM(AZ6:AZ19)</f>
        <v>50170989</v>
      </c>
      <c r="BA20" s="1965">
        <f>SUM(BA6:BA19)</f>
        <v>45701700</v>
      </c>
      <c r="BB20" s="1965">
        <f>SUM(BB6:BB19)</f>
        <v>44821388.321539626</v>
      </c>
      <c r="BC20" s="1968">
        <f>SUM(BC6:BC19)</f>
        <v>47875974.315181762</v>
      </c>
      <c r="BD20" s="1964">
        <f>SUM(BD6:BD19)</f>
        <v>11005.82</v>
      </c>
      <c r="BE20" s="1964">
        <f>SUM(BE6:BE19)</f>
        <v>10326.49</v>
      </c>
      <c r="BF20" s="1964">
        <f>SUM(BF6:BF19)</f>
        <v>11590.15</v>
      </c>
      <c r="BG20" s="1965">
        <f>SUM(BG6:BG19)</f>
        <v>10407</v>
      </c>
      <c r="BH20" s="1965">
        <f>SUM(BH6:BH19)</f>
        <v>8980.83543053004</v>
      </c>
      <c r="BI20" s="1965">
        <f>SUM(BI6:BI19)</f>
        <v>9576.1155540858199</v>
      </c>
      <c r="BJ20" s="1966">
        <f>SUM(BJ6:BJ19)</f>
        <v>9680.9822876257513</v>
      </c>
      <c r="BK20" s="1975">
        <f>SUM(BK6:BK19)</f>
        <v>6874</v>
      </c>
      <c r="BL20" s="1975">
        <f>SUM(BL6:BL19)</f>
        <v>8391</v>
      </c>
      <c r="BM20" s="1964">
        <f>SUM(BM6:BM19)</f>
        <v>11590</v>
      </c>
      <c r="BN20" s="1965">
        <f>SUM(BN6:BN19)</f>
        <v>10407</v>
      </c>
      <c r="BO20" s="1965">
        <f>SUM(BO6:BO19)</f>
        <v>8980.83543053004</v>
      </c>
      <c r="BP20" s="1965">
        <f>SUM(BP6:BP19)</f>
        <v>9576.1155540858199</v>
      </c>
      <c r="BQ20" s="1966">
        <f>SUM(BQ6:BQ19)</f>
        <v>9680.9822876257513</v>
      </c>
      <c r="BR20" s="1967"/>
      <c r="BS20" s="1964">
        <f>SUM(BS6:BS19)</f>
        <v>13578635</v>
      </c>
      <c r="BT20" s="1964">
        <f>SUM(BT6:BT19)</f>
        <v>14035003</v>
      </c>
      <c r="BU20" s="1964">
        <f>SUM(BU6:BU19)</f>
        <v>14345167</v>
      </c>
      <c r="BV20" s="1965">
        <f>SUM(BV6:BV19)</f>
        <v>14895541</v>
      </c>
      <c r="BW20" s="1965">
        <f>SUM(BW6:BW19)</f>
        <v>19728970</v>
      </c>
      <c r="BX20" s="1965">
        <f>SUM(BX6:BX19)</f>
        <v>18384166.173932131</v>
      </c>
      <c r="BY20" s="1968">
        <f>SUM(BY6:BY19)</f>
        <v>16760207.413013415</v>
      </c>
      <c r="BZ20" s="2049">
        <f>SUM(BZ6:BZ19)</f>
        <v>2856</v>
      </c>
      <c r="CA20" s="2049">
        <f>SUM(CA6:CA19)</f>
        <v>2514</v>
      </c>
      <c r="CB20" s="1964">
        <f>SUM(CB6:CB19)</f>
        <v>3746.8</v>
      </c>
      <c r="CC20" s="1965">
        <f>SUM(CC6:CC19)</f>
        <v>3357</v>
      </c>
      <c r="CD20" s="1965">
        <f>SUM(CD6:CD19)</f>
        <v>4169.0112184495611</v>
      </c>
      <c r="CE20" s="1965">
        <f>SUM(CE6:CE19)</f>
        <v>4164.0860110472186</v>
      </c>
      <c r="CF20" s="1966">
        <f>SUM(CF6:CF19)</f>
        <v>3301.5089895700826</v>
      </c>
      <c r="CG20" s="1964">
        <f>SUM(CG6:CG19)</f>
        <v>2856</v>
      </c>
      <c r="CH20" s="1964">
        <f>SUM(CH6:CH19)</f>
        <v>2100</v>
      </c>
      <c r="CI20" s="1964">
        <f>SUM(CI6:CI19)</f>
        <v>3746</v>
      </c>
      <c r="CJ20" s="1965">
        <f>SUM(CJ6:CJ19)</f>
        <v>3357</v>
      </c>
      <c r="CK20" s="1965">
        <f>SUM(CK6:CK19)</f>
        <v>4169.0112184495611</v>
      </c>
      <c r="CL20" s="1965">
        <f>SUM(CL6:CL19)</f>
        <v>4164.0860110472186</v>
      </c>
      <c r="CM20" s="1966">
        <f>SUM(CM6:CM19)</f>
        <v>3301.5089895700826</v>
      </c>
      <c r="CN20" s="665"/>
      <c r="CO20" s="665">
        <f>SUM(CO6:CO17)</f>
        <v>0</v>
      </c>
      <c r="CP20" s="666">
        <f>SUM(CP6:CP17)</f>
        <v>0</v>
      </c>
      <c r="CQ20" s="666">
        <f>SUM(CQ6:CQ17)</f>
        <v>0</v>
      </c>
      <c r="CR20" s="998"/>
      <c r="CS20" s="995"/>
      <c r="CT20" s="665"/>
      <c r="CU20" s="665">
        <f>SUM(CU6:CU17)</f>
        <v>0</v>
      </c>
      <c r="CV20" s="666">
        <f>SUM(CV6:CV17)</f>
        <v>0</v>
      </c>
      <c r="CW20" s="666">
        <f>SUM(CW6:CW17)</f>
        <v>0</v>
      </c>
      <c r="CX20" s="985"/>
      <c r="CY20" s="995"/>
      <c r="CZ20" s="665"/>
      <c r="DA20" s="665">
        <f>SUM(DA6:DA17)</f>
        <v>0</v>
      </c>
      <c r="DB20" s="666">
        <f>SUM(DB6:DB17)</f>
        <v>0</v>
      </c>
      <c r="DC20" s="666">
        <f>SUM(DC6:DC17)</f>
        <v>0</v>
      </c>
      <c r="DD20" s="985"/>
      <c r="DE20" s="1899"/>
      <c r="DF20" s="1902"/>
    </row>
    <row r="21" spans="1:110">
      <c r="A21" s="1936"/>
      <c r="B21" s="3672">
        <v>2</v>
      </c>
      <c r="C21" s="1941" t="s">
        <v>514</v>
      </c>
      <c r="D21" s="1942" t="s">
        <v>515</v>
      </c>
      <c r="E21" s="488">
        <v>188000</v>
      </c>
      <c r="F21" s="488">
        <v>138001</v>
      </c>
      <c r="G21" s="490">
        <v>268201</v>
      </c>
      <c r="H21" s="488">
        <v>228475.63</v>
      </c>
      <c r="I21" s="488">
        <v>252795</v>
      </c>
      <c r="J21" s="1943">
        <v>288184</v>
      </c>
      <c r="K21" s="1944">
        <v>144719</v>
      </c>
      <c r="L21" s="488">
        <v>78</v>
      </c>
      <c r="M21" s="488">
        <v>29</v>
      </c>
      <c r="N21" s="490">
        <v>52</v>
      </c>
      <c r="O21" s="488">
        <v>48.512230517900008</v>
      </c>
      <c r="P21" s="488">
        <v>59</v>
      </c>
      <c r="Q21" s="1945">
        <v>73.659830400000004</v>
      </c>
      <c r="R21" s="1946">
        <v>40.965607329999997</v>
      </c>
      <c r="S21" s="488">
        <v>78</v>
      </c>
      <c r="T21" s="488">
        <v>29</v>
      </c>
      <c r="U21" s="490">
        <v>52</v>
      </c>
      <c r="V21" s="488">
        <v>48.512230517900008</v>
      </c>
      <c r="W21" s="488">
        <v>59</v>
      </c>
      <c r="X21" s="1945">
        <v>73.659830400000004</v>
      </c>
      <c r="Y21" s="1946">
        <v>40.965607329999997</v>
      </c>
      <c r="Z21" s="1947"/>
      <c r="AA21" s="488">
        <v>188000</v>
      </c>
      <c r="AB21" s="488">
        <v>138001</v>
      </c>
      <c r="AC21" s="490">
        <v>268201</v>
      </c>
      <c r="AD21" s="488">
        <v>228476</v>
      </c>
      <c r="AE21" s="488">
        <v>252795</v>
      </c>
      <c r="AF21" s="1943">
        <v>288184</v>
      </c>
      <c r="AG21" s="1944">
        <v>144719</v>
      </c>
      <c r="AH21" s="3142">
        <v>78</v>
      </c>
      <c r="AI21" s="488">
        <v>29</v>
      </c>
      <c r="AJ21" s="490">
        <v>51.864709380000001</v>
      </c>
      <c r="AK21" s="488">
        <v>48.512230517900008</v>
      </c>
      <c r="AL21" s="488">
        <v>58.936658939599994</v>
      </c>
      <c r="AM21" s="1945">
        <v>73.659830400000004</v>
      </c>
      <c r="AN21" s="1946">
        <v>40.965607329999997</v>
      </c>
      <c r="AO21" s="3151">
        <v>78</v>
      </c>
      <c r="AP21" s="490">
        <v>29</v>
      </c>
      <c r="AQ21" s="490">
        <v>52</v>
      </c>
      <c r="AR21" s="488">
        <v>49</v>
      </c>
      <c r="AS21" s="488">
        <v>58.936658939599994</v>
      </c>
      <c r="AT21" s="1945">
        <v>73.659830400000004</v>
      </c>
      <c r="AU21" s="1946">
        <v>40.965607329999997</v>
      </c>
      <c r="AV21" s="1947"/>
      <c r="AW21" s="488" t="s">
        <v>132</v>
      </c>
      <c r="AX21" s="488" t="s">
        <v>132</v>
      </c>
      <c r="AY21" s="490" t="s">
        <v>132</v>
      </c>
      <c r="AZ21" s="488" t="s">
        <v>132</v>
      </c>
      <c r="BA21" s="488" t="s">
        <v>132</v>
      </c>
      <c r="BB21" s="1943" t="s">
        <v>132</v>
      </c>
      <c r="BC21" s="1944" t="s">
        <v>132</v>
      </c>
      <c r="BD21" s="3142" t="s">
        <v>132</v>
      </c>
      <c r="BE21" s="488" t="s">
        <v>132</v>
      </c>
      <c r="BF21" s="490" t="s">
        <v>132</v>
      </c>
      <c r="BG21" s="488" t="s">
        <v>132</v>
      </c>
      <c r="BH21" s="488" t="s">
        <v>132</v>
      </c>
      <c r="BI21" s="1945" t="s">
        <v>132</v>
      </c>
      <c r="BJ21" s="1946" t="s">
        <v>132</v>
      </c>
      <c r="BK21" s="3137" t="s">
        <v>132</v>
      </c>
      <c r="BL21" s="488" t="s">
        <v>132</v>
      </c>
      <c r="BM21" s="490" t="s">
        <v>132</v>
      </c>
      <c r="BN21" s="488" t="s">
        <v>132</v>
      </c>
      <c r="BO21" s="488" t="s">
        <v>132</v>
      </c>
      <c r="BP21" s="1945" t="s">
        <v>132</v>
      </c>
      <c r="BQ21" s="1946" t="s">
        <v>132</v>
      </c>
      <c r="BR21" s="1947"/>
      <c r="BS21" s="488" t="s">
        <v>132</v>
      </c>
      <c r="BT21" s="488" t="s">
        <v>132</v>
      </c>
      <c r="BU21" s="490" t="s">
        <v>132</v>
      </c>
      <c r="BV21" s="488" t="s">
        <v>132</v>
      </c>
      <c r="BW21" s="488" t="s">
        <v>132</v>
      </c>
      <c r="BX21" s="1943" t="s">
        <v>132</v>
      </c>
      <c r="BY21" s="1944" t="s">
        <v>132</v>
      </c>
      <c r="BZ21" s="488" t="s">
        <v>132</v>
      </c>
      <c r="CA21" s="488" t="s">
        <v>132</v>
      </c>
      <c r="CB21" s="490" t="s">
        <v>132</v>
      </c>
      <c r="CC21" s="488" t="s">
        <v>132</v>
      </c>
      <c r="CD21" s="488" t="s">
        <v>132</v>
      </c>
      <c r="CE21" s="1945" t="s">
        <v>132</v>
      </c>
      <c r="CF21" s="1946" t="s">
        <v>132</v>
      </c>
      <c r="CG21" s="488" t="s">
        <v>132</v>
      </c>
      <c r="CH21" s="488" t="s">
        <v>132</v>
      </c>
      <c r="CI21" s="490" t="s">
        <v>132</v>
      </c>
      <c r="CJ21" s="488" t="s">
        <v>132</v>
      </c>
      <c r="CK21" s="488" t="s">
        <v>132</v>
      </c>
      <c r="CL21" s="1945" t="s">
        <v>132</v>
      </c>
      <c r="CM21" s="1946" t="s">
        <v>132</v>
      </c>
      <c r="CN21" s="490"/>
      <c r="CO21" s="490"/>
      <c r="CP21" s="488"/>
      <c r="CQ21" s="488"/>
      <c r="CR21" s="984"/>
      <c r="CS21" s="994"/>
      <c r="CT21" s="490"/>
      <c r="CU21" s="490"/>
      <c r="CV21" s="488"/>
      <c r="CW21" s="488"/>
      <c r="CX21" s="984"/>
      <c r="CY21" s="994"/>
      <c r="CZ21" s="490"/>
      <c r="DA21" s="490"/>
      <c r="DB21" s="488"/>
      <c r="DC21" s="488"/>
      <c r="DD21" s="984"/>
      <c r="DE21" s="1900"/>
      <c r="DF21" s="1901"/>
    </row>
    <row r="22" spans="1:110" ht="27" thickBot="1">
      <c r="A22" s="1936"/>
      <c r="B22" s="3673"/>
      <c r="C22" s="1955" t="s">
        <v>516</v>
      </c>
      <c r="D22" s="1956" t="s">
        <v>517</v>
      </c>
      <c r="E22" s="1969">
        <v>126784067.277</v>
      </c>
      <c r="F22" s="1969">
        <v>122178390.759</v>
      </c>
      <c r="G22" s="489">
        <v>121585740.75668438</v>
      </c>
      <c r="H22" s="489">
        <v>106854681.64504899</v>
      </c>
      <c r="I22" s="489">
        <v>100147137</v>
      </c>
      <c r="J22" s="1970">
        <v>135175288.16559863</v>
      </c>
      <c r="K22" s="1971">
        <v>136696717.12659401</v>
      </c>
      <c r="L22" s="1969">
        <v>26249</v>
      </c>
      <c r="M22" s="1969">
        <v>25300</v>
      </c>
      <c r="N22" s="489">
        <v>23512</v>
      </c>
      <c r="O22" s="489">
        <v>22688.454553693256</v>
      </c>
      <c r="P22" s="489">
        <v>23348</v>
      </c>
      <c r="Q22" s="1972">
        <v>34550.803655127005</v>
      </c>
      <c r="R22" s="1973">
        <v>33224.961802192862</v>
      </c>
      <c r="S22" s="1969" t="s">
        <v>132</v>
      </c>
      <c r="T22" s="1969" t="s">
        <v>132</v>
      </c>
      <c r="U22" s="489" t="s">
        <v>132</v>
      </c>
      <c r="V22" s="489" t="s">
        <v>132</v>
      </c>
      <c r="W22" s="489" t="s">
        <v>132</v>
      </c>
      <c r="X22" s="1972" t="s">
        <v>132</v>
      </c>
      <c r="Y22" s="1973">
        <v>5.47</v>
      </c>
      <c r="Z22" s="1947"/>
      <c r="AA22" s="1969">
        <v>8832280</v>
      </c>
      <c r="AB22" s="1969">
        <v>9903349</v>
      </c>
      <c r="AC22" s="489">
        <v>10580645</v>
      </c>
      <c r="AD22" s="489">
        <v>7952123</v>
      </c>
      <c r="AE22" s="489">
        <v>7716081</v>
      </c>
      <c r="AF22" s="1970">
        <v>19378388.359999999</v>
      </c>
      <c r="AG22" s="1971">
        <v>20407481.500000004</v>
      </c>
      <c r="AH22" s="3168">
        <v>1829</v>
      </c>
      <c r="AI22" s="1969">
        <v>2051</v>
      </c>
      <c r="AJ22" s="489">
        <v>2046.0852016505994</v>
      </c>
      <c r="AK22" s="489">
        <v>1688.4743742618</v>
      </c>
      <c r="AL22" s="489">
        <v>1799</v>
      </c>
      <c r="AM22" s="1972">
        <v>4953.1160648160003</v>
      </c>
      <c r="AN22" s="1973">
        <v>5776.7457882050003</v>
      </c>
      <c r="AO22" s="3167">
        <v>1829</v>
      </c>
      <c r="AP22" s="987" t="s">
        <v>132</v>
      </c>
      <c r="AQ22" s="489" t="s">
        <v>132</v>
      </c>
      <c r="AR22" s="489" t="s">
        <v>132</v>
      </c>
      <c r="AS22" s="489" t="s">
        <v>132</v>
      </c>
      <c r="AT22" s="1972" t="s">
        <v>132</v>
      </c>
      <c r="AU22" s="1973" t="s">
        <v>132</v>
      </c>
      <c r="AV22" s="1947"/>
      <c r="AW22" s="1969">
        <v>71639639</v>
      </c>
      <c r="AX22" s="1969">
        <v>69978546</v>
      </c>
      <c r="AY22" s="489">
        <v>69081837.091299996</v>
      </c>
      <c r="AZ22" s="489">
        <v>65416475.643372208</v>
      </c>
      <c r="BA22" s="489">
        <v>58655926.620200001</v>
      </c>
      <c r="BB22" s="1970">
        <v>71984978.26290001</v>
      </c>
      <c r="BC22" s="1971">
        <v>65786004.496593595</v>
      </c>
      <c r="BD22" s="3168">
        <v>14833</v>
      </c>
      <c r="BE22" s="1969">
        <v>14491</v>
      </c>
      <c r="BF22" s="489">
        <v>13359.045656715594</v>
      </c>
      <c r="BG22" s="489">
        <v>13889.880273357219</v>
      </c>
      <c r="BH22" s="489">
        <v>13675.042732233425</v>
      </c>
      <c r="BI22" s="1972">
        <v>18399.360443997237</v>
      </c>
      <c r="BJ22" s="1973">
        <v>18622.044292850758</v>
      </c>
      <c r="BK22" s="3139" t="s">
        <v>132</v>
      </c>
      <c r="BL22" s="1969" t="s">
        <v>132</v>
      </c>
      <c r="BM22" s="489" t="s">
        <v>132</v>
      </c>
      <c r="BN22" s="489" t="s">
        <v>132</v>
      </c>
      <c r="BO22" s="489" t="s">
        <v>132</v>
      </c>
      <c r="BP22" s="1972" t="s">
        <v>132</v>
      </c>
      <c r="BQ22" s="1973" t="s">
        <v>132</v>
      </c>
      <c r="BR22" s="1947"/>
      <c r="BS22" s="1969">
        <v>46296480.939999998</v>
      </c>
      <c r="BT22" s="1969">
        <v>42286867</v>
      </c>
      <c r="BU22" s="489">
        <v>41907335.295384407</v>
      </c>
      <c r="BV22" s="489">
        <v>33464711.541676808</v>
      </c>
      <c r="BW22" s="489">
        <v>33754934.730000004</v>
      </c>
      <c r="BX22" s="1970">
        <v>43775814.185299993</v>
      </c>
      <c r="BY22" s="1971">
        <v>42641730.629999995</v>
      </c>
      <c r="BZ22" s="1969">
        <v>9584</v>
      </c>
      <c r="CA22" s="1969">
        <v>8757</v>
      </c>
      <c r="CB22" s="489">
        <v>8104.0404994214341</v>
      </c>
      <c r="CC22" s="489">
        <v>7105.5622016442367</v>
      </c>
      <c r="CD22" s="489">
        <v>7869.6254829521995</v>
      </c>
      <c r="CE22" s="1972">
        <v>11189.098105762681</v>
      </c>
      <c r="CF22" s="1973">
        <v>12070.594689434101</v>
      </c>
      <c r="CG22" s="1969" t="s">
        <v>132</v>
      </c>
      <c r="CH22" s="1969" t="s">
        <v>132</v>
      </c>
      <c r="CI22" s="489" t="s">
        <v>132</v>
      </c>
      <c r="CJ22" s="489" t="s">
        <v>132</v>
      </c>
      <c r="CK22" s="489" t="s">
        <v>132</v>
      </c>
      <c r="CL22" s="1972" t="s">
        <v>132</v>
      </c>
      <c r="CM22" s="1973" t="s">
        <v>132</v>
      </c>
      <c r="CN22" s="987"/>
      <c r="CO22" s="489"/>
      <c r="CP22" s="489"/>
      <c r="CQ22" s="489"/>
      <c r="CR22" s="996"/>
      <c r="CS22" s="997"/>
      <c r="CT22" s="987"/>
      <c r="CU22" s="489"/>
      <c r="CV22" s="489"/>
      <c r="CW22" s="489"/>
      <c r="CX22" s="1001"/>
      <c r="CY22" s="1002"/>
      <c r="CZ22" s="987"/>
      <c r="DA22" s="489"/>
      <c r="DB22" s="489"/>
      <c r="DC22" s="489"/>
      <c r="DD22" s="1001"/>
      <c r="DE22" s="1898"/>
      <c r="DF22" s="1901"/>
    </row>
    <row r="23" spans="1:110" s="667" customFormat="1" ht="14.45" thickBot="1">
      <c r="A23" s="1963"/>
      <c r="B23" s="3674"/>
      <c r="C23" s="3675" t="s">
        <v>518</v>
      </c>
      <c r="D23" s="3676"/>
      <c r="E23" s="1974">
        <f>E21+E22</f>
        <v>126972067.277</v>
      </c>
      <c r="F23" s="1974">
        <f>F21+F22</f>
        <v>122316391.759</v>
      </c>
      <c r="G23" s="1975">
        <f t="shared" ref="G23:P23" si="0">SUM(G21:G22)</f>
        <v>121853941.75668438</v>
      </c>
      <c r="H23" s="1965">
        <f t="shared" si="0"/>
        <v>107083157.27504899</v>
      </c>
      <c r="I23" s="1965">
        <f t="shared" si="0"/>
        <v>100399932</v>
      </c>
      <c r="J23" s="1965">
        <f>SUM(J21:J22)</f>
        <v>135463472.16559863</v>
      </c>
      <c r="K23" s="1976">
        <f>SUM(K21:K22)</f>
        <v>136841436.12659401</v>
      </c>
      <c r="L23" s="1974">
        <f t="shared" si="0"/>
        <v>26327</v>
      </c>
      <c r="M23" s="1974">
        <f t="shared" si="0"/>
        <v>25329</v>
      </c>
      <c r="N23" s="1975">
        <f t="shared" si="0"/>
        <v>23564</v>
      </c>
      <c r="O23" s="1965">
        <f t="shared" si="0"/>
        <v>22736.966784211156</v>
      </c>
      <c r="P23" s="1965">
        <f t="shared" si="0"/>
        <v>23407</v>
      </c>
      <c r="Q23" s="1965">
        <v>34624.463485527005</v>
      </c>
      <c r="R23" s="1976">
        <v>33265.927409522861</v>
      </c>
      <c r="S23" s="1974">
        <f>SUM(S21:S22)</f>
        <v>78</v>
      </c>
      <c r="T23" s="1974">
        <f>SUM(T21:T22)</f>
        <v>29</v>
      </c>
      <c r="U23" s="1975">
        <f>SUM(U21:U22)</f>
        <v>52</v>
      </c>
      <c r="V23" s="1965">
        <f>SUM(V21:V22)</f>
        <v>48.512230517900008</v>
      </c>
      <c r="W23" s="1965">
        <f t="shared" ref="W23:Y23" si="1">SUM(W21:W22)</f>
        <v>59</v>
      </c>
      <c r="X23" s="1965">
        <f t="shared" si="1"/>
        <v>73.659830400000004</v>
      </c>
      <c r="Y23" s="1976">
        <f t="shared" si="1"/>
        <v>46.435607329999996</v>
      </c>
      <c r="Z23" s="1967"/>
      <c r="AA23" s="1974">
        <f>SUM(AA21:AA22)</f>
        <v>9020280</v>
      </c>
      <c r="AB23" s="1974">
        <f t="shared" ref="AB23:AN23" si="2">SUM(AB21:AB22)</f>
        <v>10041350</v>
      </c>
      <c r="AC23" s="1975">
        <f t="shared" si="2"/>
        <v>10848846</v>
      </c>
      <c r="AD23" s="1965">
        <f t="shared" si="2"/>
        <v>8180599</v>
      </c>
      <c r="AE23" s="1965">
        <f t="shared" si="2"/>
        <v>7968876</v>
      </c>
      <c r="AF23" s="1965">
        <f t="shared" si="2"/>
        <v>19666572.359999999</v>
      </c>
      <c r="AG23" s="1976">
        <f t="shared" si="2"/>
        <v>20552200.500000004</v>
      </c>
      <c r="AH23" s="1974">
        <f t="shared" si="2"/>
        <v>1907</v>
      </c>
      <c r="AI23" s="1974">
        <f t="shared" si="2"/>
        <v>2080</v>
      </c>
      <c r="AJ23" s="1975">
        <f t="shared" si="2"/>
        <v>2097.9499110305992</v>
      </c>
      <c r="AK23" s="1965">
        <f t="shared" si="2"/>
        <v>1736.9866047797</v>
      </c>
      <c r="AL23" s="1965">
        <f t="shared" si="2"/>
        <v>1857.9366589396</v>
      </c>
      <c r="AM23" s="1965">
        <f t="shared" si="2"/>
        <v>5026.7758952160002</v>
      </c>
      <c r="AN23" s="1976">
        <f t="shared" si="2"/>
        <v>5817.7113955350005</v>
      </c>
      <c r="AO23" s="2026">
        <f>SUM(AO21:AO21)</f>
        <v>78</v>
      </c>
      <c r="AP23" s="2053">
        <f>SUM(AP21:AP21)</f>
        <v>29</v>
      </c>
      <c r="AQ23" s="1975">
        <f>SUM(AQ21:AQ21)</f>
        <v>52</v>
      </c>
      <c r="AR23" s="1965">
        <f t="shared" ref="AR23:AU23" si="3">SUM(AR21:AR22)</f>
        <v>49</v>
      </c>
      <c r="AS23" s="1965">
        <f t="shared" si="3"/>
        <v>58.936658939599994</v>
      </c>
      <c r="AT23" s="1965">
        <f t="shared" si="3"/>
        <v>73.659830400000004</v>
      </c>
      <c r="AU23" s="1976">
        <f t="shared" si="3"/>
        <v>40.965607329999997</v>
      </c>
      <c r="AV23" s="1967"/>
      <c r="AW23" s="1974">
        <f>SUM(AW21:AW22)</f>
        <v>71639639</v>
      </c>
      <c r="AX23" s="1974">
        <f t="shared" ref="AX23:BQ23" si="4">SUM(AX21:AX22)</f>
        <v>69978546</v>
      </c>
      <c r="AY23" s="1975">
        <f t="shared" si="4"/>
        <v>69081837.091299996</v>
      </c>
      <c r="AZ23" s="1965">
        <f t="shared" si="4"/>
        <v>65416475.643372208</v>
      </c>
      <c r="BA23" s="1965">
        <f t="shared" si="4"/>
        <v>58655926.620200001</v>
      </c>
      <c r="BB23" s="1965">
        <f t="shared" si="4"/>
        <v>71984978.26290001</v>
      </c>
      <c r="BC23" s="1976">
        <f t="shared" si="4"/>
        <v>65786004.496593595</v>
      </c>
      <c r="BD23" s="1974">
        <f t="shared" si="4"/>
        <v>14833</v>
      </c>
      <c r="BE23" s="1974">
        <f>SUM(BE21:BE22)</f>
        <v>14491</v>
      </c>
      <c r="BF23" s="1975">
        <f t="shared" si="4"/>
        <v>13359.045656715594</v>
      </c>
      <c r="BG23" s="1965">
        <f t="shared" si="4"/>
        <v>13889.880273357219</v>
      </c>
      <c r="BH23" s="1965">
        <f t="shared" si="4"/>
        <v>13675.042732233425</v>
      </c>
      <c r="BI23" s="1965">
        <f t="shared" si="4"/>
        <v>18399.360443997237</v>
      </c>
      <c r="BJ23" s="1976">
        <f t="shared" si="4"/>
        <v>18622.044292850758</v>
      </c>
      <c r="BK23" s="1974" t="s">
        <v>132</v>
      </c>
      <c r="BL23" s="1974" t="s">
        <v>132</v>
      </c>
      <c r="BM23" s="1975" t="s">
        <v>132</v>
      </c>
      <c r="BN23" s="1965" t="s">
        <v>132</v>
      </c>
      <c r="BO23" s="1965" t="s">
        <v>132</v>
      </c>
      <c r="BP23" s="1965" t="s">
        <v>132</v>
      </c>
      <c r="BQ23" s="1976" t="s">
        <v>132</v>
      </c>
      <c r="BR23" s="1967"/>
      <c r="BS23" s="1974">
        <f t="shared" ref="BS23:CM23" si="5">SUM(BS21:BS22)</f>
        <v>46296480.939999998</v>
      </c>
      <c r="BT23" s="1974">
        <f t="shared" si="5"/>
        <v>42286867</v>
      </c>
      <c r="BU23" s="1975">
        <f t="shared" si="5"/>
        <v>41907335.295384407</v>
      </c>
      <c r="BV23" s="1965">
        <f t="shared" si="5"/>
        <v>33464711.541676808</v>
      </c>
      <c r="BW23" s="1965">
        <f t="shared" si="5"/>
        <v>33754934.730000004</v>
      </c>
      <c r="BX23" s="1965">
        <f t="shared" si="5"/>
        <v>43775814.185299993</v>
      </c>
      <c r="BY23" s="1976">
        <f t="shared" si="5"/>
        <v>42641730.629999995</v>
      </c>
      <c r="BZ23" s="1974">
        <f>SUM(BZ21:BZ22)</f>
        <v>9584</v>
      </c>
      <c r="CA23" s="1974">
        <f t="shared" si="5"/>
        <v>8757</v>
      </c>
      <c r="CB23" s="1975">
        <f t="shared" si="5"/>
        <v>8104.0404994214341</v>
      </c>
      <c r="CC23" s="1965">
        <f t="shared" si="5"/>
        <v>7105.5622016442367</v>
      </c>
      <c r="CD23" s="1965">
        <f t="shared" si="5"/>
        <v>7869.6254829521995</v>
      </c>
      <c r="CE23" s="1965">
        <f t="shared" si="5"/>
        <v>11189.098105762681</v>
      </c>
      <c r="CF23" s="1976">
        <f t="shared" si="5"/>
        <v>12070.594689434101</v>
      </c>
      <c r="CG23" s="1974" t="s">
        <v>132</v>
      </c>
      <c r="CH23" s="1974" t="s">
        <v>132</v>
      </c>
      <c r="CI23" s="1975" t="s">
        <v>132</v>
      </c>
      <c r="CJ23" s="1965" t="s">
        <v>132</v>
      </c>
      <c r="CK23" s="1965" t="s">
        <v>132</v>
      </c>
      <c r="CL23" s="1965" t="s">
        <v>132</v>
      </c>
      <c r="CM23" s="1976" t="s">
        <v>132</v>
      </c>
      <c r="CN23" s="988"/>
      <c r="CO23" s="675">
        <f t="shared" ref="CO23:CQ23" si="6">SUM(CO21:CO22)</f>
        <v>0</v>
      </c>
      <c r="CP23" s="666">
        <f t="shared" si="6"/>
        <v>0</v>
      </c>
      <c r="CQ23" s="666">
        <f t="shared" si="6"/>
        <v>0</v>
      </c>
      <c r="CR23" s="985"/>
      <c r="CS23" s="995"/>
      <c r="CT23" s="988"/>
      <c r="CU23" s="675">
        <f t="shared" ref="CU23:CW23" si="7">SUM(CU21:CU22)</f>
        <v>0</v>
      </c>
      <c r="CV23" s="666">
        <f t="shared" si="7"/>
        <v>0</v>
      </c>
      <c r="CW23" s="666">
        <f t="shared" si="7"/>
        <v>0</v>
      </c>
      <c r="CX23" s="998"/>
      <c r="CY23" s="1003"/>
      <c r="CZ23" s="988"/>
      <c r="DA23" s="675">
        <f t="shared" ref="DA23:DC23" si="8">SUM(DA21:DA22)</f>
        <v>0</v>
      </c>
      <c r="DB23" s="666">
        <f t="shared" si="8"/>
        <v>0</v>
      </c>
      <c r="DC23" s="666">
        <f t="shared" si="8"/>
        <v>0</v>
      </c>
      <c r="DD23" s="998"/>
      <c r="DE23" s="1007"/>
    </row>
    <row r="24" spans="1:110" s="667" customFormat="1" ht="14.65" customHeight="1" thickBot="1">
      <c r="A24" s="1963"/>
      <c r="B24" s="3716" t="s">
        <v>519</v>
      </c>
      <c r="C24" s="3693" t="s">
        <v>520</v>
      </c>
      <c r="D24" s="3694"/>
      <c r="E24" s="2039">
        <f>(E21+E22+E27)/E25</f>
        <v>0.74560438745057867</v>
      </c>
      <c r="F24" s="2039">
        <f>(F21+F22+F27)/F25</f>
        <v>0.69948696476289618</v>
      </c>
      <c r="G24" s="1977">
        <f t="shared" ref="G24:K24" si="9">1-(G20/G25)</f>
        <v>0.61824077263822752</v>
      </c>
      <c r="H24" s="1977">
        <f t="shared" si="9"/>
        <v>0.59339269681602069</v>
      </c>
      <c r="I24" s="1977">
        <f t="shared" si="9"/>
        <v>0.57629985007124485</v>
      </c>
      <c r="J24" s="1977">
        <f t="shared" si="9"/>
        <v>0.65378113536868354</v>
      </c>
      <c r="K24" s="1978">
        <f t="shared" si="9"/>
        <v>0.65235116666382065</v>
      </c>
      <c r="L24" s="3329" t="s">
        <v>132</v>
      </c>
      <c r="M24" s="1979" t="s">
        <v>132</v>
      </c>
      <c r="N24" s="1979" t="s">
        <v>132</v>
      </c>
      <c r="O24" s="1979" t="s">
        <v>132</v>
      </c>
      <c r="P24" s="1979" t="s">
        <v>132</v>
      </c>
      <c r="Q24" s="1979" t="s">
        <v>132</v>
      </c>
      <c r="R24" s="1980" t="s">
        <v>132</v>
      </c>
      <c r="S24" s="3329" t="s">
        <v>132</v>
      </c>
      <c r="T24" s="2050" t="s">
        <v>132</v>
      </c>
      <c r="U24" s="1979" t="s">
        <v>132</v>
      </c>
      <c r="V24" s="1979" t="s">
        <v>132</v>
      </c>
      <c r="W24" s="1979" t="s">
        <v>132</v>
      </c>
      <c r="X24" s="1979" t="s">
        <v>132</v>
      </c>
      <c r="Y24" s="1980" t="s">
        <v>132</v>
      </c>
      <c r="Z24" s="1981"/>
      <c r="AA24" s="3176">
        <f>(AA23+AA27)/AA25</f>
        <v>0.55344950538600557</v>
      </c>
      <c r="AB24" s="1977">
        <f t="shared" ref="AB24:AG24" si="10">1-(AB20/AB25)</f>
        <v>0.53780922550886845</v>
      </c>
      <c r="AC24" s="1977">
        <f t="shared" si="10"/>
        <v>0.588987988741695</v>
      </c>
      <c r="AD24" s="1977">
        <f t="shared" si="10"/>
        <v>0.49639400409658907</v>
      </c>
      <c r="AE24" s="1977">
        <f t="shared" si="10"/>
        <v>0.48748140303756571</v>
      </c>
      <c r="AF24" s="1977">
        <f t="shared" si="10"/>
        <v>0.69916166020804049</v>
      </c>
      <c r="AG24" s="1978">
        <f t="shared" si="10"/>
        <v>0.71451923437501386</v>
      </c>
      <c r="AH24" s="3154" t="s">
        <v>132</v>
      </c>
      <c r="AI24" s="1979" t="s">
        <v>132</v>
      </c>
      <c r="AJ24" s="1979" t="s">
        <v>132</v>
      </c>
      <c r="AK24" s="1979" t="s">
        <v>132</v>
      </c>
      <c r="AL24" s="1979" t="s">
        <v>132</v>
      </c>
      <c r="AM24" s="1979" t="s">
        <v>132</v>
      </c>
      <c r="AN24" s="1980" t="s">
        <v>132</v>
      </c>
      <c r="AO24" s="3170" t="s">
        <v>132</v>
      </c>
      <c r="AP24" s="1979" t="s">
        <v>132</v>
      </c>
      <c r="AQ24" s="1979" t="s">
        <v>132</v>
      </c>
      <c r="AR24" s="1979" t="s">
        <v>132</v>
      </c>
      <c r="AS24" s="1979" t="s">
        <v>132</v>
      </c>
      <c r="AT24" s="1979" t="s">
        <v>132</v>
      </c>
      <c r="AU24" s="1980" t="s">
        <v>132</v>
      </c>
      <c r="AV24" s="1981"/>
      <c r="AW24" s="3176">
        <f>(AW23+AW27)/AW25</f>
        <v>0.7601767419553952</v>
      </c>
      <c r="AX24" s="1977">
        <f t="shared" ref="AX24:BC24" si="11">1-(AX20/AX25)</f>
        <v>0.58825482719852951</v>
      </c>
      <c r="AY24" s="1977">
        <f t="shared" si="11"/>
        <v>0.56472813661404664</v>
      </c>
      <c r="AZ24" s="1977">
        <f t="shared" si="11"/>
        <v>0.56594783738189025</v>
      </c>
      <c r="BA24" s="1977">
        <f t="shared" si="11"/>
        <v>0.56206650649188172</v>
      </c>
      <c r="BB24" s="1977">
        <f t="shared" si="11"/>
        <v>0.61627615315695894</v>
      </c>
      <c r="BC24" s="1978">
        <f t="shared" si="11"/>
        <v>0.57878637328262128</v>
      </c>
      <c r="BD24" s="3154" t="s">
        <v>132</v>
      </c>
      <c r="BE24" s="1979" t="s">
        <v>132</v>
      </c>
      <c r="BF24" s="1979" t="s">
        <v>132</v>
      </c>
      <c r="BG24" s="1979" t="s">
        <v>132</v>
      </c>
      <c r="BH24" s="1979" t="s">
        <v>132</v>
      </c>
      <c r="BI24" s="1979" t="s">
        <v>132</v>
      </c>
      <c r="BJ24" s="1980" t="s">
        <v>132</v>
      </c>
      <c r="BK24" s="3174" t="s">
        <v>132</v>
      </c>
      <c r="BL24" s="2050" t="s">
        <v>132</v>
      </c>
      <c r="BM24" s="1979" t="s">
        <v>132</v>
      </c>
      <c r="BN24" s="1979" t="s">
        <v>132</v>
      </c>
      <c r="BO24" s="1979" t="s">
        <v>132</v>
      </c>
      <c r="BP24" s="1979" t="s">
        <v>132</v>
      </c>
      <c r="BQ24" s="1980" t="s">
        <v>132</v>
      </c>
      <c r="BR24" s="1981"/>
      <c r="BS24" s="3176">
        <f>(BS23+BS27)/BS25</f>
        <v>0.77321739111775656</v>
      </c>
      <c r="BT24" s="1977">
        <f t="shared" ref="BT24:BY24" si="12">1-(BT20/BT25)</f>
        <v>0.75080722639358388</v>
      </c>
      <c r="BU24" s="1977">
        <f t="shared" si="12"/>
        <v>0.74498615324394124</v>
      </c>
      <c r="BV24" s="1977">
        <f t="shared" si="12"/>
        <v>0.6919879401547161</v>
      </c>
      <c r="BW24" s="1977">
        <f t="shared" si="12"/>
        <v>0.631123230444809</v>
      </c>
      <c r="BX24" s="1977">
        <f t="shared" si="12"/>
        <v>0.70424433747103532</v>
      </c>
      <c r="BY24" s="1978">
        <f t="shared" si="12"/>
        <v>0.71785083172072239</v>
      </c>
      <c r="BZ24" s="3330" t="s">
        <v>132</v>
      </c>
      <c r="CA24" s="2050" t="s">
        <v>132</v>
      </c>
      <c r="CB24" s="1979" t="s">
        <v>132</v>
      </c>
      <c r="CC24" s="1979" t="s">
        <v>132</v>
      </c>
      <c r="CD24" s="1979" t="s">
        <v>132</v>
      </c>
      <c r="CE24" s="1979" t="s">
        <v>132</v>
      </c>
      <c r="CF24" s="1980" t="s">
        <v>132</v>
      </c>
      <c r="CG24" s="3331" t="s">
        <v>132</v>
      </c>
      <c r="CH24" s="1979" t="s">
        <v>132</v>
      </c>
      <c r="CI24" s="1979" t="s">
        <v>132</v>
      </c>
      <c r="CJ24" s="1979" t="s">
        <v>132</v>
      </c>
      <c r="CK24" s="1979" t="s">
        <v>132</v>
      </c>
      <c r="CL24" s="1979" t="s">
        <v>132</v>
      </c>
      <c r="CM24" s="1980" t="s">
        <v>132</v>
      </c>
      <c r="CN24" s="669"/>
      <c r="CO24" s="669" t="e">
        <f>1-(CO20/CO25)</f>
        <v>#DIV/0!</v>
      </c>
      <c r="CP24" s="669" t="e">
        <f>1-(CP20/CP25)</f>
        <v>#DIV/0!</v>
      </c>
      <c r="CQ24" s="669" t="e">
        <f>1-(CQ20/CQ25)</f>
        <v>#DIV/0!</v>
      </c>
      <c r="CR24" s="999"/>
      <c r="CS24" s="1000"/>
      <c r="CT24" s="669"/>
      <c r="CU24" s="669" t="s">
        <v>132</v>
      </c>
      <c r="CV24" s="669" t="s">
        <v>132</v>
      </c>
      <c r="CW24" s="669" t="s">
        <v>132</v>
      </c>
      <c r="CX24" s="1001" t="s">
        <v>132</v>
      </c>
      <c r="CY24" s="1002" t="s">
        <v>132</v>
      </c>
      <c r="CZ24" s="669"/>
      <c r="DA24" s="669" t="s">
        <v>132</v>
      </c>
      <c r="DB24" s="669" t="s">
        <v>132</v>
      </c>
      <c r="DC24" s="669" t="s">
        <v>132</v>
      </c>
      <c r="DD24" s="984"/>
      <c r="DE24" s="1005"/>
    </row>
    <row r="25" spans="1:110" s="667" customFormat="1" ht="14.65" customHeight="1" thickBot="1">
      <c r="A25" s="1963"/>
      <c r="B25" s="3717"/>
      <c r="C25" s="3695" t="s">
        <v>521</v>
      </c>
      <c r="D25" s="3696"/>
      <c r="E25" s="1982">
        <f>SUM(E20,E23)</f>
        <v>202881389.27700001</v>
      </c>
      <c r="F25" s="1982">
        <f>SUM(F20,F23)</f>
        <v>194000070.759</v>
      </c>
      <c r="G25" s="1982">
        <f>SUM(G20,G23)</f>
        <v>197097873.75668436</v>
      </c>
      <c r="H25" s="1983">
        <f>SUM(H20,H23)</f>
        <v>180459176.27504897</v>
      </c>
      <c r="I25" s="1984">
        <f>SUM(I20+I23)</f>
        <v>174214746</v>
      </c>
      <c r="J25" s="1984">
        <f>SUM(J20+J23)</f>
        <v>207200031.99420461</v>
      </c>
      <c r="K25" s="1985">
        <f>SUM(K20+K23)</f>
        <v>209766523.18476373</v>
      </c>
      <c r="L25" s="1982">
        <f>SUM(L23,L20)</f>
        <v>42192.04</v>
      </c>
      <c r="M25" s="1982">
        <f>SUM(M23,M20)</f>
        <v>40086</v>
      </c>
      <c r="N25" s="1982">
        <f>SUM(N23,N20)</f>
        <v>40532.199999999997</v>
      </c>
      <c r="O25" s="1983">
        <f>SUM(O23,O20)</f>
        <v>37970.00678421116</v>
      </c>
      <c r="P25" s="1986">
        <f>SUM(P23,P20)</f>
        <v>39203.36830765249</v>
      </c>
      <c r="Q25" s="1986">
        <f t="shared" ref="Q25:R25" si="13">SUM(Q23,Q20)</f>
        <v>50375.243973982564</v>
      </c>
      <c r="R25" s="1987">
        <f t="shared" si="13"/>
        <v>47947.061805573816</v>
      </c>
      <c r="S25" s="1982">
        <f>SUM(S20,S23)</f>
        <v>11635.14</v>
      </c>
      <c r="T25" s="1982">
        <f>SUM(T20,T23)</f>
        <v>12436.555</v>
      </c>
      <c r="U25" s="1982">
        <f t="shared" ref="U25:CM25" si="14">SUM(U20,U23)</f>
        <v>17020.258999999998</v>
      </c>
      <c r="V25" s="1983">
        <f t="shared" si="14"/>
        <v>15281.512230517899</v>
      </c>
      <c r="W25" s="1986">
        <f t="shared" si="14"/>
        <v>15855.368307652494</v>
      </c>
      <c r="X25" s="1986">
        <f t="shared" si="14"/>
        <v>15824.440318855557</v>
      </c>
      <c r="Y25" s="1987">
        <f t="shared" si="14"/>
        <v>14727.702187580955</v>
      </c>
      <c r="Z25" s="1988"/>
      <c r="AA25" s="1982">
        <f>SUM(AA20,AA23)</f>
        <v>18096435</v>
      </c>
      <c r="AB25" s="1982">
        <f>SUM(AB20,AB23)</f>
        <v>18670840</v>
      </c>
      <c r="AC25" s="1982">
        <f t="shared" si="14"/>
        <v>18419469</v>
      </c>
      <c r="AD25" s="1983">
        <f t="shared" si="14"/>
        <v>16480052</v>
      </c>
      <c r="AE25" s="1984">
        <f t="shared" si="14"/>
        <v>16347035.908128604</v>
      </c>
      <c r="AF25" s="1984">
        <f t="shared" si="14"/>
        <v>28128791.207098044</v>
      </c>
      <c r="AG25" s="1985">
        <f t="shared" si="14"/>
        <v>28763677.044995021</v>
      </c>
      <c r="AH25" s="1982">
        <f t="shared" si="14"/>
        <v>3911.21</v>
      </c>
      <c r="AI25" s="1982">
        <f>SUM(AI20,AI23)</f>
        <v>3987.29</v>
      </c>
      <c r="AJ25" s="1982">
        <f t="shared" si="14"/>
        <v>3707.169911030599</v>
      </c>
      <c r="AK25" s="1983">
        <f t="shared" si="14"/>
        <v>3206.4907887796999</v>
      </c>
      <c r="AL25" s="1986">
        <f t="shared" si="14"/>
        <v>4503.0900113799999</v>
      </c>
      <c r="AM25" s="1986">
        <f t="shared" si="14"/>
        <v>7021.8941929154498</v>
      </c>
      <c r="AN25" s="1987">
        <f t="shared" si="14"/>
        <v>7502.4562462528011</v>
      </c>
      <c r="AO25" s="1982">
        <f>SUM(AO20,AO23)</f>
        <v>1906.21</v>
      </c>
      <c r="AP25" s="1982">
        <f>SUM(AP20,AP23)</f>
        <v>1936.29</v>
      </c>
      <c r="AQ25" s="1982">
        <f t="shared" si="14"/>
        <v>1661.01</v>
      </c>
      <c r="AR25" s="1983">
        <f t="shared" si="14"/>
        <v>1518.6699999999998</v>
      </c>
      <c r="AS25" s="1986">
        <f t="shared" si="14"/>
        <v>2703.742766928</v>
      </c>
      <c r="AT25" s="1986">
        <f t="shared" si="14"/>
        <v>2068.5837964791999</v>
      </c>
      <c r="AU25" s="1987">
        <f t="shared" si="14"/>
        <v>1725.5080973045003</v>
      </c>
      <c r="AV25" s="1988"/>
      <c r="AW25" s="1982">
        <f>SUM(AW20,AW23)</f>
        <v>124894171</v>
      </c>
      <c r="AX25" s="1982">
        <f>SUM(AX20,AX23)</f>
        <v>118959578</v>
      </c>
      <c r="AY25" s="1982">
        <f t="shared" si="14"/>
        <v>122327599.0913</v>
      </c>
      <c r="AZ25" s="1983">
        <f t="shared" si="14"/>
        <v>115587464.64337221</v>
      </c>
      <c r="BA25" s="1984">
        <f>SUM(BA20,BA23)</f>
        <v>104357626.62020001</v>
      </c>
      <c r="BB25" s="1984">
        <f t="shared" si="14"/>
        <v>116806366.58443964</v>
      </c>
      <c r="BC25" s="1985">
        <f t="shared" si="14"/>
        <v>113661978.81177536</v>
      </c>
      <c r="BD25" s="1982">
        <f>SUM(BD20,BD23)</f>
        <v>25838.82</v>
      </c>
      <c r="BE25" s="1982">
        <f>SUM(BE20,BE23)</f>
        <v>24817.489999999998</v>
      </c>
      <c r="BF25" s="1982">
        <f t="shared" si="14"/>
        <v>24949.195656715594</v>
      </c>
      <c r="BG25" s="1983">
        <f t="shared" si="14"/>
        <v>24296.880273357219</v>
      </c>
      <c r="BH25" s="1986">
        <f t="shared" si="14"/>
        <v>22655.878162763467</v>
      </c>
      <c r="BI25" s="1986">
        <f t="shared" si="14"/>
        <v>27975.475998083057</v>
      </c>
      <c r="BJ25" s="1987">
        <f t="shared" si="14"/>
        <v>28303.026580476508</v>
      </c>
      <c r="BK25" s="2031">
        <f>SUM(BK20,BK23)</f>
        <v>6874</v>
      </c>
      <c r="BL25" s="2031">
        <f t="shared" si="14"/>
        <v>8391</v>
      </c>
      <c r="BM25" s="1982">
        <f t="shared" si="14"/>
        <v>11590</v>
      </c>
      <c r="BN25" s="1983">
        <f t="shared" si="14"/>
        <v>10407</v>
      </c>
      <c r="BO25" s="1986">
        <f t="shared" si="14"/>
        <v>8980.83543053004</v>
      </c>
      <c r="BP25" s="1986">
        <f t="shared" si="14"/>
        <v>9576.1155540858199</v>
      </c>
      <c r="BQ25" s="1987">
        <f t="shared" si="14"/>
        <v>9680.9822876257513</v>
      </c>
      <c r="BR25" s="1988"/>
      <c r="BS25" s="1982">
        <f>SUM(BS20,BS23)</f>
        <v>59875115.939999998</v>
      </c>
      <c r="BT25" s="1982">
        <f t="shared" si="14"/>
        <v>56321870</v>
      </c>
      <c r="BU25" s="1982">
        <f t="shared" si="14"/>
        <v>56252502.295384407</v>
      </c>
      <c r="BV25" s="1983">
        <f t="shared" si="14"/>
        <v>48360252.541676804</v>
      </c>
      <c r="BW25" s="1984">
        <f t="shared" si="14"/>
        <v>53483904.730000004</v>
      </c>
      <c r="BX25" s="1984">
        <f t="shared" si="14"/>
        <v>62159980.359232128</v>
      </c>
      <c r="BY25" s="1985">
        <f t="shared" si="14"/>
        <v>59401938.043013409</v>
      </c>
      <c r="BZ25" s="1982">
        <f>SUM(BZ20,BZ23)</f>
        <v>12440</v>
      </c>
      <c r="CA25" s="1982">
        <f>SUM(CA20,CA23)</f>
        <v>11271</v>
      </c>
      <c r="CB25" s="1982">
        <f t="shared" si="14"/>
        <v>11850.840499421434</v>
      </c>
      <c r="CC25" s="1983">
        <f t="shared" si="14"/>
        <v>10462.562201644236</v>
      </c>
      <c r="CD25" s="1986">
        <f t="shared" si="14"/>
        <v>12038.63670140176</v>
      </c>
      <c r="CE25" s="1986">
        <f t="shared" si="14"/>
        <v>15353.1841168099</v>
      </c>
      <c r="CF25" s="1987">
        <f t="shared" si="14"/>
        <v>15372.103679004184</v>
      </c>
      <c r="CG25" s="1982">
        <f>SUM(CG20,CG23)</f>
        <v>2856</v>
      </c>
      <c r="CH25" s="1982">
        <f t="shared" si="14"/>
        <v>2100</v>
      </c>
      <c r="CI25" s="1982">
        <f t="shared" si="14"/>
        <v>3746</v>
      </c>
      <c r="CJ25" s="1983">
        <f t="shared" si="14"/>
        <v>3357</v>
      </c>
      <c r="CK25" s="1986">
        <f t="shared" si="14"/>
        <v>4169.0112184495611</v>
      </c>
      <c r="CL25" s="1986">
        <f t="shared" si="14"/>
        <v>4164.0860110472186</v>
      </c>
      <c r="CM25" s="1987">
        <f t="shared" si="14"/>
        <v>3301.5089895700826</v>
      </c>
      <c r="CN25" s="670"/>
      <c r="CO25" s="670">
        <f t="shared" ref="CO25:CQ25" si="15">SUM(CO20,CO23)</f>
        <v>0</v>
      </c>
      <c r="CP25" s="671">
        <f t="shared" si="15"/>
        <v>0</v>
      </c>
      <c r="CQ25" s="659">
        <f t="shared" si="15"/>
        <v>0</v>
      </c>
      <c r="CR25" s="985"/>
      <c r="CS25" s="995"/>
      <c r="CT25" s="670"/>
      <c r="CU25" s="670">
        <f t="shared" ref="CU25:CW25" si="16">SUM(CU20,CU23)</f>
        <v>0</v>
      </c>
      <c r="CV25" s="671">
        <f t="shared" si="16"/>
        <v>0</v>
      </c>
      <c r="CW25" s="659">
        <f t="shared" si="16"/>
        <v>0</v>
      </c>
      <c r="CX25" s="998"/>
      <c r="CY25" s="1003"/>
      <c r="CZ25" s="670"/>
      <c r="DA25" s="670">
        <f t="shared" ref="DA25:DC25" si="17">SUM(DA20,DA23)</f>
        <v>0</v>
      </c>
      <c r="DB25" s="671">
        <f t="shared" si="17"/>
        <v>0</v>
      </c>
      <c r="DC25" s="659">
        <f t="shared" si="17"/>
        <v>0</v>
      </c>
      <c r="DD25" s="985"/>
      <c r="DE25" s="1008"/>
    </row>
    <row r="26" spans="1:110" ht="40.15" thickBot="1">
      <c r="A26" s="1936"/>
      <c r="B26" s="3717"/>
      <c r="C26" s="3697" t="s">
        <v>522</v>
      </c>
      <c r="D26" s="3394" t="s">
        <v>523</v>
      </c>
      <c r="E26" s="3175" t="s">
        <v>132</v>
      </c>
      <c r="F26" s="1989" t="s">
        <v>132</v>
      </c>
      <c r="G26" s="142" t="s">
        <v>132</v>
      </c>
      <c r="H26" s="142" t="s">
        <v>132</v>
      </c>
      <c r="I26" s="142" t="s">
        <v>132</v>
      </c>
      <c r="J26" s="142" t="s">
        <v>132</v>
      </c>
      <c r="K26" s="1949" t="s">
        <v>132</v>
      </c>
      <c r="L26" s="3392">
        <v>11636</v>
      </c>
      <c r="M26" s="1996">
        <v>13958</v>
      </c>
      <c r="N26" s="1990">
        <v>17019</v>
      </c>
      <c r="O26" s="1990">
        <v>15282</v>
      </c>
      <c r="P26" s="1990">
        <v>14296</v>
      </c>
      <c r="Q26" s="1990">
        <v>15080.235786578089</v>
      </c>
      <c r="R26" s="1991">
        <v>14727.702187580955</v>
      </c>
      <c r="S26" s="3332">
        <v>11636</v>
      </c>
      <c r="T26" s="1990">
        <v>13958</v>
      </c>
      <c r="U26" s="1990">
        <v>17019</v>
      </c>
      <c r="V26" s="1990">
        <v>15282</v>
      </c>
      <c r="W26" s="1990">
        <v>15885</v>
      </c>
      <c r="X26" s="1990">
        <v>15080.23578657809</v>
      </c>
      <c r="Y26" s="1991">
        <v>14727.702187580955</v>
      </c>
      <c r="Z26" s="1992"/>
      <c r="AA26" s="3332" t="s">
        <v>132</v>
      </c>
      <c r="AB26" s="1994" t="s">
        <v>132</v>
      </c>
      <c r="AC26" s="1994" t="s">
        <v>132</v>
      </c>
      <c r="AD26" s="1994" t="s">
        <v>132</v>
      </c>
      <c r="AE26" s="1994" t="s">
        <v>132</v>
      </c>
      <c r="AF26" s="1994" t="s">
        <v>132</v>
      </c>
      <c r="AG26" s="1995" t="s">
        <v>132</v>
      </c>
      <c r="AH26" s="3155">
        <v>1906</v>
      </c>
      <c r="AI26" s="1996">
        <v>1936</v>
      </c>
      <c r="AJ26" s="1990">
        <v>1307</v>
      </c>
      <c r="AK26" s="1990">
        <v>1517</v>
      </c>
      <c r="AL26" s="1990">
        <v>1762</v>
      </c>
      <c r="AM26" s="1990">
        <v>2452.4108877149251</v>
      </c>
      <c r="AN26" s="1991">
        <v>1725.7104580478006</v>
      </c>
      <c r="AO26" s="3169">
        <v>1906</v>
      </c>
      <c r="AP26" s="1996">
        <v>1936</v>
      </c>
      <c r="AQ26" s="1990">
        <v>1307</v>
      </c>
      <c r="AR26" s="1990">
        <v>1517</v>
      </c>
      <c r="AS26" s="1990">
        <v>1762</v>
      </c>
      <c r="AT26" s="1990">
        <v>2452.4108877149251</v>
      </c>
      <c r="AU26" s="1991">
        <v>1725.7104580478006</v>
      </c>
      <c r="AV26" s="1947"/>
      <c r="AW26" s="3332" t="s">
        <v>132</v>
      </c>
      <c r="AX26" s="1993" t="s">
        <v>132</v>
      </c>
      <c r="AY26" s="1994" t="s">
        <v>132</v>
      </c>
      <c r="AZ26" s="1994" t="s">
        <v>132</v>
      </c>
      <c r="BA26" s="1994" t="s">
        <v>132</v>
      </c>
      <c r="BB26" s="1994" t="s">
        <v>132</v>
      </c>
      <c r="BC26" s="1997" t="s">
        <v>132</v>
      </c>
      <c r="BD26" s="3155">
        <v>6596</v>
      </c>
      <c r="BE26" s="1996">
        <v>10327</v>
      </c>
      <c r="BF26" s="1990">
        <v>11591</v>
      </c>
      <c r="BG26" s="1990">
        <v>10407</v>
      </c>
      <c r="BH26" s="1990">
        <v>8719</v>
      </c>
      <c r="BI26" s="1990">
        <v>8965.8531699736213</v>
      </c>
      <c r="BJ26" s="1991">
        <v>9680.9822876257513</v>
      </c>
      <c r="BK26" s="3169">
        <f>BD26</f>
        <v>6596</v>
      </c>
      <c r="BL26" s="1996">
        <f>10327-BL27</f>
        <v>8392</v>
      </c>
      <c r="BM26" s="1990">
        <v>11591</v>
      </c>
      <c r="BN26" s="1990">
        <v>10407</v>
      </c>
      <c r="BO26" s="1990">
        <v>8719</v>
      </c>
      <c r="BP26" s="1990">
        <v>8965.8531699736213</v>
      </c>
      <c r="BQ26" s="1991">
        <v>9680.9822876257513</v>
      </c>
      <c r="BR26" s="1947"/>
      <c r="BS26" s="3332">
        <v>0</v>
      </c>
      <c r="BT26" s="1994" t="s">
        <v>132</v>
      </c>
      <c r="BU26" s="1994" t="s">
        <v>132</v>
      </c>
      <c r="BV26" s="1994" t="s">
        <v>132</v>
      </c>
      <c r="BW26" s="1994" t="s">
        <v>132</v>
      </c>
      <c r="BX26" s="1994" t="s">
        <v>132</v>
      </c>
      <c r="BY26" s="3183" t="s">
        <v>132</v>
      </c>
      <c r="BZ26" s="3333">
        <v>2855</v>
      </c>
      <c r="CA26" s="1996">
        <v>2100</v>
      </c>
      <c r="CB26" s="1990">
        <v>3748</v>
      </c>
      <c r="CC26" s="1990">
        <v>3358</v>
      </c>
      <c r="CD26" s="1990">
        <v>3814.0039584495612</v>
      </c>
      <c r="CE26" s="1990">
        <v>3647.7401440210178</v>
      </c>
      <c r="CF26" s="1991">
        <v>3301.5089895700826</v>
      </c>
      <c r="CG26" s="3334">
        <v>2855</v>
      </c>
      <c r="CH26" s="1990">
        <v>2100</v>
      </c>
      <c r="CI26" s="1990">
        <v>3748</v>
      </c>
      <c r="CJ26" s="1990">
        <v>3358</v>
      </c>
      <c r="CK26" s="1990">
        <v>3814.0039584495612</v>
      </c>
      <c r="CL26" s="1990">
        <v>3647.7401440210178</v>
      </c>
      <c r="CM26" s="1991">
        <v>3301.5089895700826</v>
      </c>
      <c r="CN26" s="989"/>
      <c r="CO26" s="657"/>
      <c r="CP26" s="657"/>
      <c r="CQ26" s="657"/>
      <c r="CR26" s="999"/>
      <c r="CS26" s="1000"/>
      <c r="CT26" s="989"/>
      <c r="CU26" s="657"/>
      <c r="CV26" s="657"/>
      <c r="CW26" s="657"/>
      <c r="CX26" s="1001"/>
      <c r="CY26" s="1000"/>
      <c r="CZ26" s="989"/>
      <c r="DA26" s="657"/>
      <c r="DB26" s="657"/>
      <c r="DC26" s="657"/>
      <c r="DD26" s="999"/>
      <c r="DE26" s="1006"/>
    </row>
    <row r="27" spans="1:110" ht="14.45" thickBot="1">
      <c r="A27" s="1936"/>
      <c r="B27" s="3717"/>
      <c r="C27" s="3698"/>
      <c r="D27" s="3395" t="s">
        <v>524</v>
      </c>
      <c r="E27" s="1998">
        <v>24297186.699999999</v>
      </c>
      <c r="F27" s="1970">
        <v>13384128.9</v>
      </c>
      <c r="G27" s="1999" t="s">
        <v>132</v>
      </c>
      <c r="H27" s="1999" t="s">
        <v>132</v>
      </c>
      <c r="I27" s="1999" t="s">
        <v>132</v>
      </c>
      <c r="J27" s="1999" t="s">
        <v>132</v>
      </c>
      <c r="K27" s="2000" t="s">
        <v>132</v>
      </c>
      <c r="L27" s="1998" t="s">
        <v>132</v>
      </c>
      <c r="M27" s="1970" t="s">
        <v>132</v>
      </c>
      <c r="N27" s="1999" t="s">
        <v>132</v>
      </c>
      <c r="O27" s="1999" t="s">
        <v>132</v>
      </c>
      <c r="P27" s="1999" t="s">
        <v>132</v>
      </c>
      <c r="Q27" s="1999" t="s">
        <v>132</v>
      </c>
      <c r="R27" s="2000" t="s">
        <v>132</v>
      </c>
      <c r="S27" s="3335">
        <f>L6-S6</f>
        <v>4308</v>
      </c>
      <c r="T27" s="1972">
        <v>2349</v>
      </c>
      <c r="U27" s="2002" t="s">
        <v>132</v>
      </c>
      <c r="V27" s="2003" t="s">
        <v>132</v>
      </c>
      <c r="W27" s="2003" t="s">
        <v>132</v>
      </c>
      <c r="X27" s="2003" t="s">
        <v>132</v>
      </c>
      <c r="Y27" s="2004" t="s">
        <v>132</v>
      </c>
      <c r="Z27" s="1947"/>
      <c r="AA27" s="3335">
        <v>995183</v>
      </c>
      <c r="AB27" s="1970" t="s">
        <v>132</v>
      </c>
      <c r="AC27" s="1999" t="s">
        <v>132</v>
      </c>
      <c r="AD27" s="1999" t="s">
        <v>132</v>
      </c>
      <c r="AE27" s="1999" t="s">
        <v>132</v>
      </c>
      <c r="AF27" s="1999" t="s">
        <v>132</v>
      </c>
      <c r="AG27" s="2000" t="s">
        <v>132</v>
      </c>
      <c r="AH27" s="3156" t="s">
        <v>132</v>
      </c>
      <c r="AI27" s="1998" t="s">
        <v>132</v>
      </c>
      <c r="AJ27" s="1999" t="s">
        <v>132</v>
      </c>
      <c r="AK27" s="1999" t="s">
        <v>132</v>
      </c>
      <c r="AL27" s="1999" t="s">
        <v>132</v>
      </c>
      <c r="AM27" s="1999" t="s">
        <v>132</v>
      </c>
      <c r="AN27" s="2000" t="s">
        <v>132</v>
      </c>
      <c r="AO27" s="3156">
        <v>176</v>
      </c>
      <c r="AP27" s="2001" t="s">
        <v>132</v>
      </c>
      <c r="AQ27" s="2002" t="s">
        <v>132</v>
      </c>
      <c r="AR27" s="2003" t="s">
        <v>132</v>
      </c>
      <c r="AS27" s="2003" t="s">
        <v>132</v>
      </c>
      <c r="AT27" s="2003" t="s">
        <v>132</v>
      </c>
      <c r="AU27" s="2004" t="s">
        <v>132</v>
      </c>
      <c r="AV27" s="1947"/>
      <c r="AW27" s="3335">
        <v>23302005</v>
      </c>
      <c r="AX27" s="1998" t="s">
        <v>132</v>
      </c>
      <c r="AY27" s="1999" t="s">
        <v>132</v>
      </c>
      <c r="AZ27" s="1999" t="s">
        <v>132</v>
      </c>
      <c r="BA27" s="1999" t="s">
        <v>132</v>
      </c>
      <c r="BB27" s="1999" t="s">
        <v>132</v>
      </c>
      <c r="BC27" s="1971" t="s">
        <v>132</v>
      </c>
      <c r="BD27" s="3156" t="s">
        <v>132</v>
      </c>
      <c r="BE27" s="1998" t="s">
        <v>132</v>
      </c>
      <c r="BF27" s="1999" t="s">
        <v>132</v>
      </c>
      <c r="BG27" s="1999" t="s">
        <v>132</v>
      </c>
      <c r="BH27" s="1999" t="s">
        <v>132</v>
      </c>
      <c r="BI27" s="1999" t="s">
        <v>132</v>
      </c>
      <c r="BJ27" s="2000" t="s">
        <v>132</v>
      </c>
      <c r="BK27" s="3172">
        <v>4132</v>
      </c>
      <c r="BL27" s="2001">
        <v>1935</v>
      </c>
      <c r="BM27" s="1972" t="s">
        <v>132</v>
      </c>
      <c r="BN27" s="2003" t="s">
        <v>132</v>
      </c>
      <c r="BO27" s="2003" t="s">
        <v>132</v>
      </c>
      <c r="BP27" s="2003" t="s">
        <v>132</v>
      </c>
      <c r="BQ27" s="2004" t="s">
        <v>132</v>
      </c>
      <c r="BR27" s="1947"/>
      <c r="BS27" s="3335">
        <v>0</v>
      </c>
      <c r="BT27" s="1970" t="s">
        <v>132</v>
      </c>
      <c r="BU27" s="1999" t="s">
        <v>132</v>
      </c>
      <c r="BV27" s="1999" t="s">
        <v>132</v>
      </c>
      <c r="BW27" s="1999" t="s">
        <v>132</v>
      </c>
      <c r="BX27" s="1999" t="s">
        <v>132</v>
      </c>
      <c r="BY27" s="3184" t="s">
        <v>132</v>
      </c>
      <c r="BZ27" s="3336" t="s">
        <v>132</v>
      </c>
      <c r="CA27" s="1998" t="s">
        <v>132</v>
      </c>
      <c r="CB27" s="1999" t="s">
        <v>132</v>
      </c>
      <c r="CC27" s="1999" t="s">
        <v>132</v>
      </c>
      <c r="CD27" s="1999" t="s">
        <v>132</v>
      </c>
      <c r="CE27" s="1999" t="s">
        <v>132</v>
      </c>
      <c r="CF27" s="2000" t="s">
        <v>132</v>
      </c>
      <c r="CG27" s="3337">
        <v>0</v>
      </c>
      <c r="CH27" s="1972">
        <v>414</v>
      </c>
      <c r="CI27" s="2003" t="s">
        <v>132</v>
      </c>
      <c r="CJ27" s="2003" t="s">
        <v>132</v>
      </c>
      <c r="CK27" s="2003" t="s">
        <v>132</v>
      </c>
      <c r="CL27" s="2003" t="s">
        <v>132</v>
      </c>
      <c r="CM27" s="2004" t="s">
        <v>132</v>
      </c>
      <c r="CN27" s="1998"/>
      <c r="CO27" s="2005"/>
      <c r="CP27" s="2005"/>
      <c r="CQ27" s="2005"/>
      <c r="CR27" s="1276"/>
      <c r="CS27" s="1277"/>
      <c r="CT27" s="1998"/>
      <c r="CU27" s="2005"/>
      <c r="CV27" s="2005"/>
      <c r="CW27" s="2005"/>
      <c r="CX27" s="1001"/>
      <c r="CY27" s="1277"/>
      <c r="CZ27" s="1998"/>
      <c r="DA27" s="2005"/>
      <c r="DB27" s="2005"/>
      <c r="DC27" s="2005"/>
      <c r="DD27" s="1276"/>
      <c r="DE27" s="1006"/>
    </row>
    <row r="28" spans="1:110" s="667" customFormat="1" ht="14.65" customHeight="1" thickBot="1">
      <c r="A28" s="1963"/>
      <c r="B28" s="3718"/>
      <c r="C28" s="3699" t="s">
        <v>525</v>
      </c>
      <c r="D28" s="3700"/>
      <c r="E28" s="665"/>
      <c r="F28" s="665" t="s">
        <v>132</v>
      </c>
      <c r="G28" s="665" t="s">
        <v>132</v>
      </c>
      <c r="H28" s="665" t="s">
        <v>132</v>
      </c>
      <c r="I28" s="665" t="s">
        <v>132</v>
      </c>
      <c r="J28" s="665" t="s">
        <v>132</v>
      </c>
      <c r="K28" s="2006" t="s">
        <v>132</v>
      </c>
      <c r="L28" s="665">
        <f>L26</f>
        <v>11636</v>
      </c>
      <c r="M28" s="665">
        <f>M26</f>
        <v>13958</v>
      </c>
      <c r="N28" s="665">
        <f>N26</f>
        <v>17019</v>
      </c>
      <c r="O28" s="665">
        <f>O26</f>
        <v>15282</v>
      </c>
      <c r="P28" s="665">
        <f>P26</f>
        <v>14296</v>
      </c>
      <c r="Q28" s="665">
        <v>15080.235786578089</v>
      </c>
      <c r="R28" s="2006">
        <v>14727.702187581001</v>
      </c>
      <c r="S28" s="665">
        <f>S26+S27</f>
        <v>15944</v>
      </c>
      <c r="T28" s="665">
        <f>T26+T27</f>
        <v>16307</v>
      </c>
      <c r="U28" s="665">
        <f>U26</f>
        <v>17019</v>
      </c>
      <c r="V28" s="665">
        <f>V26</f>
        <v>15282</v>
      </c>
      <c r="W28" s="665">
        <f>W26</f>
        <v>15885</v>
      </c>
      <c r="X28" s="665">
        <f>X26</f>
        <v>15080.23578657809</v>
      </c>
      <c r="Y28" s="665">
        <f>Y26</f>
        <v>14727.702187580955</v>
      </c>
      <c r="Z28" s="1967"/>
      <c r="AA28" s="665" t="s">
        <v>132</v>
      </c>
      <c r="AB28" s="665" t="s">
        <v>132</v>
      </c>
      <c r="AC28" s="665" t="s">
        <v>132</v>
      </c>
      <c r="AD28" s="665" t="s">
        <v>132</v>
      </c>
      <c r="AE28" s="665" t="s">
        <v>132</v>
      </c>
      <c r="AF28" s="665" t="s">
        <v>132</v>
      </c>
      <c r="AG28" s="2006" t="s">
        <v>132</v>
      </c>
      <c r="AH28" s="665">
        <f>AH26</f>
        <v>1906</v>
      </c>
      <c r="AI28" s="665">
        <f>AI26</f>
        <v>1936</v>
      </c>
      <c r="AJ28" s="665">
        <f>AJ26</f>
        <v>1307</v>
      </c>
      <c r="AK28" s="665">
        <f>AK26</f>
        <v>1517</v>
      </c>
      <c r="AL28" s="665">
        <f>AL26</f>
        <v>1762</v>
      </c>
      <c r="AM28" s="665">
        <v>2452.4108877149251</v>
      </c>
      <c r="AN28" s="2006">
        <v>1725.7104580478006</v>
      </c>
      <c r="AO28" s="665">
        <f>AO26+AO27</f>
        <v>2082</v>
      </c>
      <c r="AP28" s="665">
        <f>AP26</f>
        <v>1936</v>
      </c>
      <c r="AQ28" s="665">
        <f>AQ26</f>
        <v>1307</v>
      </c>
      <c r="AR28" s="665">
        <f>AR26</f>
        <v>1517</v>
      </c>
      <c r="AS28" s="665">
        <f>AS26</f>
        <v>1762</v>
      </c>
      <c r="AT28" s="665">
        <v>2452.4108877149251</v>
      </c>
      <c r="AU28" s="2006">
        <v>1725.7104580478006</v>
      </c>
      <c r="AV28" s="1967"/>
      <c r="AW28" s="665"/>
      <c r="AX28" s="665" t="s">
        <v>132</v>
      </c>
      <c r="AY28" s="665" t="s">
        <v>132</v>
      </c>
      <c r="AZ28" s="665" t="s">
        <v>132</v>
      </c>
      <c r="BA28" s="665" t="s">
        <v>132</v>
      </c>
      <c r="BB28" s="665" t="s">
        <v>132</v>
      </c>
      <c r="BC28" s="2006" t="s">
        <v>132</v>
      </c>
      <c r="BD28" s="665">
        <f>BD26</f>
        <v>6596</v>
      </c>
      <c r="BE28" s="665">
        <v>10327</v>
      </c>
      <c r="BF28" s="665">
        <v>11591</v>
      </c>
      <c r="BG28" s="665">
        <f>SUM(BG26)</f>
        <v>10407</v>
      </c>
      <c r="BH28" s="665">
        <f>SUM(BH26)</f>
        <v>8719</v>
      </c>
      <c r="BI28" s="665">
        <v>8965.8531699736213</v>
      </c>
      <c r="BJ28" s="2006">
        <v>9680.9822876257513</v>
      </c>
      <c r="BK28" s="665">
        <f>BK26+BK27</f>
        <v>10728</v>
      </c>
      <c r="BL28" s="665">
        <f>BL26+BL27</f>
        <v>10327</v>
      </c>
      <c r="BM28" s="665">
        <v>11591</v>
      </c>
      <c r="BN28" s="665">
        <f>BN26</f>
        <v>10407</v>
      </c>
      <c r="BO28" s="665">
        <f>BO26</f>
        <v>8719</v>
      </c>
      <c r="BP28" s="665">
        <v>8965.8531699736213</v>
      </c>
      <c r="BQ28" s="2006">
        <v>9680.9822876257513</v>
      </c>
      <c r="BR28" s="1967"/>
      <c r="BS28" s="665" t="s">
        <v>132</v>
      </c>
      <c r="BT28" s="665" t="s">
        <v>132</v>
      </c>
      <c r="BU28" s="665" t="s">
        <v>132</v>
      </c>
      <c r="BV28" s="665" t="s">
        <v>132</v>
      </c>
      <c r="BW28" s="665" t="s">
        <v>132</v>
      </c>
      <c r="BX28" s="665" t="s">
        <v>132</v>
      </c>
      <c r="BY28" s="2006" t="s">
        <v>132</v>
      </c>
      <c r="BZ28" s="665">
        <f>SUM(BZ26:BZ27)</f>
        <v>2855</v>
      </c>
      <c r="CA28" s="665">
        <v>2513</v>
      </c>
      <c r="CB28" s="665">
        <f>CB26</f>
        <v>3748</v>
      </c>
      <c r="CC28" s="665">
        <f>CC26</f>
        <v>3358</v>
      </c>
      <c r="CD28" s="665">
        <v>3814.0039584495612</v>
      </c>
      <c r="CE28" s="665">
        <v>3647.7401440210178</v>
      </c>
      <c r="CF28" s="2006">
        <v>3301.5089895700826</v>
      </c>
      <c r="CG28" s="675">
        <f>CG25</f>
        <v>2856</v>
      </c>
      <c r="CH28" s="675">
        <f>CH26+CH27</f>
        <v>2514</v>
      </c>
      <c r="CI28" s="665">
        <f>CI26</f>
        <v>3748</v>
      </c>
      <c r="CJ28" s="665">
        <f>CJ26</f>
        <v>3358</v>
      </c>
      <c r="CK28" s="665">
        <f>CK26</f>
        <v>3814.0039584495612</v>
      </c>
      <c r="CL28" s="665">
        <f>CL26</f>
        <v>3647.7401440210178</v>
      </c>
      <c r="CM28" s="2006">
        <f>CM26</f>
        <v>3301.5089895700826</v>
      </c>
      <c r="CN28" s="665"/>
      <c r="CO28" s="665"/>
      <c r="CP28" s="665"/>
      <c r="CQ28" s="665"/>
      <c r="CR28" s="985"/>
      <c r="CS28" s="995"/>
      <c r="CT28" s="665"/>
      <c r="CU28" s="665"/>
      <c r="CV28" s="665"/>
      <c r="CW28" s="665"/>
      <c r="CX28" s="998"/>
      <c r="CY28" s="995"/>
      <c r="CZ28" s="665"/>
      <c r="DA28" s="665"/>
      <c r="DB28" s="665"/>
      <c r="DC28" s="665"/>
      <c r="DD28" s="985"/>
      <c r="DE28" s="1007"/>
    </row>
    <row r="29" spans="1:110">
      <c r="A29" s="1936"/>
      <c r="B29" s="3713">
        <v>3</v>
      </c>
      <c r="C29" s="3185" t="s">
        <v>526</v>
      </c>
      <c r="D29" s="2012" t="s">
        <v>527</v>
      </c>
      <c r="E29" s="663" t="s">
        <v>132</v>
      </c>
      <c r="F29" s="663" t="s">
        <v>132</v>
      </c>
      <c r="G29" s="663" t="s">
        <v>132</v>
      </c>
      <c r="H29" s="663" t="s">
        <v>132</v>
      </c>
      <c r="I29" s="663" t="s">
        <v>132</v>
      </c>
      <c r="J29" s="663" t="s">
        <v>132</v>
      </c>
      <c r="K29" s="2022" t="s">
        <v>132</v>
      </c>
      <c r="L29" s="663">
        <v>186</v>
      </c>
      <c r="M29" s="663">
        <v>219</v>
      </c>
      <c r="N29" s="663" t="s">
        <v>132</v>
      </c>
      <c r="O29" s="663" t="s">
        <v>132</v>
      </c>
      <c r="P29" s="663" t="s">
        <v>132</v>
      </c>
      <c r="Q29" s="663" t="s">
        <v>132</v>
      </c>
      <c r="R29" s="3414" t="s">
        <v>132</v>
      </c>
      <c r="S29" s="663">
        <v>186</v>
      </c>
      <c r="T29" s="663">
        <v>219</v>
      </c>
      <c r="U29" s="663" t="s">
        <v>132</v>
      </c>
      <c r="V29" s="663" t="s">
        <v>132</v>
      </c>
      <c r="W29" s="663" t="s">
        <v>132</v>
      </c>
      <c r="X29" s="663" t="s">
        <v>132</v>
      </c>
      <c r="Y29" s="2022" t="s">
        <v>132</v>
      </c>
      <c r="Z29" s="1947"/>
      <c r="AA29" s="663" t="s">
        <v>132</v>
      </c>
      <c r="AB29" s="663" t="s">
        <v>132</v>
      </c>
      <c r="AC29" s="2021" t="s">
        <v>132</v>
      </c>
      <c r="AD29" s="2021" t="s">
        <v>132</v>
      </c>
      <c r="AE29" s="2021" t="s">
        <v>132</v>
      </c>
      <c r="AF29" s="2021" t="s">
        <v>132</v>
      </c>
      <c r="AG29" s="2022" t="s">
        <v>132</v>
      </c>
      <c r="AH29" s="3145">
        <v>13</v>
      </c>
      <c r="AI29" s="663">
        <v>15</v>
      </c>
      <c r="AJ29" s="2021" t="s">
        <v>132</v>
      </c>
      <c r="AK29" s="2021" t="s">
        <v>132</v>
      </c>
      <c r="AL29" s="2021" t="s">
        <v>132</v>
      </c>
      <c r="AM29" s="2021" t="s">
        <v>132</v>
      </c>
      <c r="AN29" s="2022" t="s">
        <v>132</v>
      </c>
      <c r="AO29" s="3145">
        <v>13</v>
      </c>
      <c r="AP29" s="663">
        <v>15</v>
      </c>
      <c r="AQ29" s="2021" t="s">
        <v>132</v>
      </c>
      <c r="AR29" s="2021" t="s">
        <v>132</v>
      </c>
      <c r="AS29" s="2021" t="s">
        <v>132</v>
      </c>
      <c r="AT29" s="2021" t="s">
        <v>132</v>
      </c>
      <c r="AU29" s="2022" t="s">
        <v>132</v>
      </c>
      <c r="AV29" s="1947"/>
      <c r="AW29" s="663" t="s">
        <v>132</v>
      </c>
      <c r="AX29" s="663" t="s">
        <v>132</v>
      </c>
      <c r="AY29" s="663" t="s">
        <v>132</v>
      </c>
      <c r="AZ29" s="663" t="s">
        <v>132</v>
      </c>
      <c r="BA29" s="663" t="s">
        <v>132</v>
      </c>
      <c r="BB29" s="663" t="s">
        <v>132</v>
      </c>
      <c r="BC29" s="2022" t="s">
        <v>132</v>
      </c>
      <c r="BD29" s="3145">
        <v>79</v>
      </c>
      <c r="BE29" s="663">
        <v>101</v>
      </c>
      <c r="BF29" s="2021" t="s">
        <v>132</v>
      </c>
      <c r="BG29" s="2021" t="s">
        <v>132</v>
      </c>
      <c r="BH29" s="2021" t="s">
        <v>132</v>
      </c>
      <c r="BI29" s="2021" t="s">
        <v>132</v>
      </c>
      <c r="BJ29" s="2022" t="s">
        <v>132</v>
      </c>
      <c r="BK29" s="3145">
        <v>79</v>
      </c>
      <c r="BL29" s="663">
        <v>101</v>
      </c>
      <c r="BM29" s="2021" t="s">
        <v>498</v>
      </c>
      <c r="BN29" s="2021" t="s">
        <v>498</v>
      </c>
      <c r="BO29" s="2021" t="s">
        <v>498</v>
      </c>
      <c r="BP29" s="2021" t="s">
        <v>498</v>
      </c>
      <c r="BQ29" s="2022" t="s">
        <v>132</v>
      </c>
      <c r="BR29" s="1947"/>
      <c r="BS29" s="663" t="s">
        <v>132</v>
      </c>
      <c r="BT29" s="991" t="s">
        <v>132</v>
      </c>
      <c r="BU29" s="991" t="s">
        <v>132</v>
      </c>
      <c r="BV29" s="991" t="s">
        <v>132</v>
      </c>
      <c r="BW29" s="991" t="s">
        <v>132</v>
      </c>
      <c r="BX29" s="991" t="s">
        <v>132</v>
      </c>
      <c r="BY29" s="2017" t="s">
        <v>132</v>
      </c>
      <c r="BZ29" s="663">
        <v>95</v>
      </c>
      <c r="CA29" s="663">
        <v>103</v>
      </c>
      <c r="CB29" s="663" t="s">
        <v>132</v>
      </c>
      <c r="CC29" s="663" t="s">
        <v>132</v>
      </c>
      <c r="CD29" s="663" t="s">
        <v>132</v>
      </c>
      <c r="CE29" s="663" t="s">
        <v>132</v>
      </c>
      <c r="CF29" s="2022" t="s">
        <v>132</v>
      </c>
      <c r="CG29" s="663">
        <v>95</v>
      </c>
      <c r="CH29" s="663">
        <v>103</v>
      </c>
      <c r="CI29" s="663" t="s">
        <v>132</v>
      </c>
      <c r="CJ29" s="663" t="s">
        <v>132</v>
      </c>
      <c r="CK29" s="663" t="s">
        <v>132</v>
      </c>
      <c r="CL29" s="663" t="s">
        <v>132</v>
      </c>
      <c r="CM29" s="2022" t="s">
        <v>132</v>
      </c>
      <c r="CN29" s="2023"/>
      <c r="CO29" s="1279"/>
      <c r="CP29" s="1278"/>
      <c r="CQ29" s="1279"/>
      <c r="CR29" s="1001"/>
      <c r="CS29" s="1002"/>
      <c r="CT29" s="1278"/>
      <c r="CU29" s="1278"/>
      <c r="CV29" s="1278"/>
      <c r="CW29" s="1279"/>
      <c r="CX29" s="1001"/>
      <c r="CY29" s="1002"/>
      <c r="CZ29" s="1278"/>
      <c r="DA29" s="1278"/>
      <c r="DB29" s="1278"/>
      <c r="DC29" s="1279"/>
      <c r="DD29" s="1001"/>
      <c r="DE29" s="1006"/>
    </row>
    <row r="30" spans="1:110">
      <c r="A30" s="1936"/>
      <c r="B30" s="3714"/>
      <c r="C30" s="3702" t="s">
        <v>528</v>
      </c>
      <c r="D30" s="3186" t="s">
        <v>529</v>
      </c>
      <c r="E30" s="663" t="s">
        <v>132</v>
      </c>
      <c r="F30" s="663" t="s">
        <v>132</v>
      </c>
      <c r="G30" s="663" t="s">
        <v>132</v>
      </c>
      <c r="H30" s="663" t="s">
        <v>132</v>
      </c>
      <c r="I30" s="663" t="s">
        <v>132</v>
      </c>
      <c r="J30" s="663" t="s">
        <v>132</v>
      </c>
      <c r="K30" s="2022" t="s">
        <v>132</v>
      </c>
      <c r="L30" s="663">
        <v>7424</v>
      </c>
      <c r="M30" s="663">
        <v>8377</v>
      </c>
      <c r="N30" s="663" t="s">
        <v>132</v>
      </c>
      <c r="O30" s="663" t="s">
        <v>132</v>
      </c>
      <c r="P30" s="663" t="s">
        <v>132</v>
      </c>
      <c r="Q30" s="663" t="s">
        <v>132</v>
      </c>
      <c r="R30" s="2022" t="s">
        <v>132</v>
      </c>
      <c r="S30" s="663">
        <v>7424</v>
      </c>
      <c r="T30" s="663">
        <v>8377</v>
      </c>
      <c r="U30" s="2021" t="s">
        <v>132</v>
      </c>
      <c r="V30" s="2021" t="s">
        <v>132</v>
      </c>
      <c r="W30" s="2021" t="s">
        <v>132</v>
      </c>
      <c r="X30" s="2021" t="s">
        <v>132</v>
      </c>
      <c r="Y30" s="1954" t="s">
        <v>132</v>
      </c>
      <c r="Z30" s="1947"/>
      <c r="AA30" s="663" t="s">
        <v>132</v>
      </c>
      <c r="AB30" s="663" t="s">
        <v>132</v>
      </c>
      <c r="AC30" s="2021" t="s">
        <v>498</v>
      </c>
      <c r="AD30" s="2021" t="s">
        <v>498</v>
      </c>
      <c r="AE30" s="2021" t="s">
        <v>498</v>
      </c>
      <c r="AF30" s="2021" t="s">
        <v>498</v>
      </c>
      <c r="AG30" s="1954" t="s">
        <v>132</v>
      </c>
      <c r="AH30" s="3145">
        <v>608</v>
      </c>
      <c r="AI30" s="663">
        <v>1151</v>
      </c>
      <c r="AJ30" s="2021" t="s">
        <v>498</v>
      </c>
      <c r="AK30" s="2021" t="s">
        <v>498</v>
      </c>
      <c r="AL30" s="2021" t="s">
        <v>498</v>
      </c>
      <c r="AM30" s="2021" t="s">
        <v>498</v>
      </c>
      <c r="AN30" s="1954" t="s">
        <v>132</v>
      </c>
      <c r="AO30" s="3145">
        <v>608</v>
      </c>
      <c r="AP30" s="663">
        <v>1151</v>
      </c>
      <c r="AQ30" s="2021" t="s">
        <v>498</v>
      </c>
      <c r="AR30" s="2021" t="s">
        <v>498</v>
      </c>
      <c r="AS30" s="2021" t="s">
        <v>498</v>
      </c>
      <c r="AT30" s="2021" t="s">
        <v>498</v>
      </c>
      <c r="AU30" s="1954" t="s">
        <v>132</v>
      </c>
      <c r="AV30" s="1947"/>
      <c r="AW30" s="663" t="s">
        <v>132</v>
      </c>
      <c r="AX30" s="663" t="s">
        <v>132</v>
      </c>
      <c r="AY30" s="2021" t="s">
        <v>498</v>
      </c>
      <c r="AZ30" s="2021" t="s">
        <v>498</v>
      </c>
      <c r="BA30" s="2021" t="s">
        <v>498</v>
      </c>
      <c r="BB30" s="2021" t="s">
        <v>498</v>
      </c>
      <c r="BC30" s="1954" t="s">
        <v>132</v>
      </c>
      <c r="BD30" s="3145">
        <v>4356</v>
      </c>
      <c r="BE30" s="663">
        <v>4853</v>
      </c>
      <c r="BF30" s="2021" t="s">
        <v>498</v>
      </c>
      <c r="BG30" s="2021" t="s">
        <v>498</v>
      </c>
      <c r="BH30" s="2021" t="s">
        <v>498</v>
      </c>
      <c r="BI30" s="2021" t="s">
        <v>498</v>
      </c>
      <c r="BJ30" s="1954" t="s">
        <v>132</v>
      </c>
      <c r="BK30" s="3145">
        <v>4356</v>
      </c>
      <c r="BL30" s="663">
        <v>4853</v>
      </c>
      <c r="BM30" s="2021" t="s">
        <v>498</v>
      </c>
      <c r="BN30" s="2021" t="s">
        <v>498</v>
      </c>
      <c r="BO30" s="2021" t="s">
        <v>498</v>
      </c>
      <c r="BP30" s="2021" t="s">
        <v>498</v>
      </c>
      <c r="BQ30" s="1954" t="s">
        <v>132</v>
      </c>
      <c r="BR30" s="1947"/>
      <c r="BS30" s="663" t="s">
        <v>132</v>
      </c>
      <c r="BT30" s="663" t="s">
        <v>132</v>
      </c>
      <c r="BU30" s="663" t="s">
        <v>132</v>
      </c>
      <c r="BV30" s="663" t="s">
        <v>132</v>
      </c>
      <c r="BW30" s="663" t="s">
        <v>132</v>
      </c>
      <c r="BX30" s="663" t="s">
        <v>132</v>
      </c>
      <c r="BY30" s="2022" t="s">
        <v>132</v>
      </c>
      <c r="BZ30" s="663">
        <v>2459</v>
      </c>
      <c r="CA30" s="663">
        <v>2373</v>
      </c>
      <c r="CB30" s="663" t="s">
        <v>132</v>
      </c>
      <c r="CC30" s="663" t="s">
        <v>132</v>
      </c>
      <c r="CD30" s="663" t="s">
        <v>132</v>
      </c>
      <c r="CE30" s="663" t="s">
        <v>132</v>
      </c>
      <c r="CF30" s="1954" t="s">
        <v>132</v>
      </c>
      <c r="CG30" s="663">
        <v>2459</v>
      </c>
      <c r="CH30" s="663">
        <v>2373</v>
      </c>
      <c r="CI30" s="663" t="s">
        <v>132</v>
      </c>
      <c r="CJ30" s="663" t="s">
        <v>132</v>
      </c>
      <c r="CK30" s="663" t="s">
        <v>132</v>
      </c>
      <c r="CL30" s="663" t="s">
        <v>132</v>
      </c>
      <c r="CM30" s="1954" t="s">
        <v>132</v>
      </c>
      <c r="CN30" s="2023"/>
      <c r="CO30" s="1279"/>
      <c r="CP30" s="1278"/>
      <c r="CQ30" s="1279"/>
      <c r="CR30" s="1001"/>
      <c r="CS30" s="1002"/>
      <c r="CT30" s="1278"/>
      <c r="CU30" s="1278"/>
      <c r="CV30" s="1278"/>
      <c r="CW30" s="1279"/>
      <c r="CX30" s="1001"/>
      <c r="CY30" s="1002"/>
      <c r="CZ30" s="1278"/>
      <c r="DA30" s="1278"/>
      <c r="DB30" s="1278"/>
      <c r="DC30" s="1279"/>
      <c r="DD30" s="1001"/>
      <c r="DE30" s="1006"/>
    </row>
    <row r="31" spans="1:110">
      <c r="A31" s="1936"/>
      <c r="B31" s="3714"/>
      <c r="C31" s="3712"/>
      <c r="D31" s="2101" t="s">
        <v>530</v>
      </c>
      <c r="E31" s="663" t="s">
        <v>132</v>
      </c>
      <c r="F31" s="663" t="s">
        <v>132</v>
      </c>
      <c r="G31" s="663" t="s">
        <v>132</v>
      </c>
      <c r="H31" s="663" t="s">
        <v>132</v>
      </c>
      <c r="I31" s="663" t="s">
        <v>132</v>
      </c>
      <c r="J31" s="663" t="s">
        <v>132</v>
      </c>
      <c r="K31" s="2022" t="s">
        <v>132</v>
      </c>
      <c r="L31" s="663">
        <v>2225</v>
      </c>
      <c r="M31" s="663">
        <v>2126</v>
      </c>
      <c r="N31" s="663" t="s">
        <v>132</v>
      </c>
      <c r="O31" s="663" t="s">
        <v>132</v>
      </c>
      <c r="P31" s="663" t="s">
        <v>132</v>
      </c>
      <c r="Q31" s="663" t="s">
        <v>132</v>
      </c>
      <c r="R31" s="3415" t="s">
        <v>132</v>
      </c>
      <c r="S31" s="663">
        <v>2225</v>
      </c>
      <c r="T31" s="663">
        <v>2126</v>
      </c>
      <c r="U31" s="2021" t="s">
        <v>132</v>
      </c>
      <c r="V31" s="2021" t="s">
        <v>132</v>
      </c>
      <c r="W31" s="2021" t="s">
        <v>132</v>
      </c>
      <c r="X31" s="2021" t="s">
        <v>132</v>
      </c>
      <c r="Y31" s="1954" t="s">
        <v>132</v>
      </c>
      <c r="Z31" s="1947"/>
      <c r="AA31" s="663" t="s">
        <v>132</v>
      </c>
      <c r="AB31" s="663" t="s">
        <v>132</v>
      </c>
      <c r="AC31" s="2021" t="s">
        <v>498</v>
      </c>
      <c r="AD31" s="2021" t="s">
        <v>498</v>
      </c>
      <c r="AE31" s="2021" t="s">
        <v>498</v>
      </c>
      <c r="AF31" s="2021" t="s">
        <v>498</v>
      </c>
      <c r="AG31" s="1954" t="s">
        <v>132</v>
      </c>
      <c r="AH31" s="3145">
        <v>162</v>
      </c>
      <c r="AI31" s="663">
        <v>177</v>
      </c>
      <c r="AJ31" s="2021" t="s">
        <v>498</v>
      </c>
      <c r="AK31" s="2021" t="s">
        <v>498</v>
      </c>
      <c r="AL31" s="2021" t="s">
        <v>498</v>
      </c>
      <c r="AM31" s="2021" t="s">
        <v>498</v>
      </c>
      <c r="AN31" s="1954" t="s">
        <v>132</v>
      </c>
      <c r="AO31" s="3145">
        <v>162</v>
      </c>
      <c r="AP31" s="663">
        <v>177</v>
      </c>
      <c r="AQ31" s="2021" t="s">
        <v>498</v>
      </c>
      <c r="AR31" s="2021" t="s">
        <v>498</v>
      </c>
      <c r="AS31" s="2021" t="s">
        <v>498</v>
      </c>
      <c r="AT31" s="2021" t="s">
        <v>498</v>
      </c>
      <c r="AU31" s="1954" t="s">
        <v>132</v>
      </c>
      <c r="AV31" s="1947"/>
      <c r="AW31" s="663" t="s">
        <v>132</v>
      </c>
      <c r="AX31" s="663" t="s">
        <v>132</v>
      </c>
      <c r="AY31" s="2021" t="s">
        <v>498</v>
      </c>
      <c r="AZ31" s="2021" t="s">
        <v>498</v>
      </c>
      <c r="BA31" s="2021" t="s">
        <v>498</v>
      </c>
      <c r="BB31" s="2021" t="s">
        <v>498</v>
      </c>
      <c r="BC31" s="1954" t="s">
        <v>132</v>
      </c>
      <c r="BD31" s="3145">
        <v>1215</v>
      </c>
      <c r="BE31" s="663">
        <v>1192</v>
      </c>
      <c r="BF31" s="2021" t="s">
        <v>498</v>
      </c>
      <c r="BG31" s="2021" t="s">
        <v>498</v>
      </c>
      <c r="BH31" s="2021" t="s">
        <v>498</v>
      </c>
      <c r="BI31" s="2021" t="s">
        <v>498</v>
      </c>
      <c r="BJ31" s="1954" t="s">
        <v>132</v>
      </c>
      <c r="BK31" s="3145">
        <v>1215</v>
      </c>
      <c r="BL31" s="663">
        <v>1192</v>
      </c>
      <c r="BM31" s="2021" t="s">
        <v>498</v>
      </c>
      <c r="BN31" s="2021" t="s">
        <v>498</v>
      </c>
      <c r="BO31" s="2021" t="s">
        <v>498</v>
      </c>
      <c r="BP31" s="2021" t="s">
        <v>498</v>
      </c>
      <c r="BQ31" s="1954" t="s">
        <v>132</v>
      </c>
      <c r="BR31" s="1947"/>
      <c r="BS31" s="663" t="s">
        <v>132</v>
      </c>
      <c r="BT31" s="663" t="s">
        <v>132</v>
      </c>
      <c r="BU31" s="663" t="s">
        <v>132</v>
      </c>
      <c r="BV31" s="663" t="s">
        <v>132</v>
      </c>
      <c r="BW31" s="663" t="s">
        <v>132</v>
      </c>
      <c r="BX31" s="663" t="s">
        <v>132</v>
      </c>
      <c r="BY31" s="2022" t="s">
        <v>132</v>
      </c>
      <c r="BZ31" s="663">
        <v>847</v>
      </c>
      <c r="CA31" s="663">
        <v>758</v>
      </c>
      <c r="CB31" s="663" t="s">
        <v>132</v>
      </c>
      <c r="CC31" s="663" t="s">
        <v>132</v>
      </c>
      <c r="CD31" s="663" t="s">
        <v>132</v>
      </c>
      <c r="CE31" s="663" t="s">
        <v>132</v>
      </c>
      <c r="CF31" s="1954" t="s">
        <v>132</v>
      </c>
      <c r="CG31" s="663">
        <v>847</v>
      </c>
      <c r="CH31" s="663">
        <v>758</v>
      </c>
      <c r="CI31" s="663" t="s">
        <v>132</v>
      </c>
      <c r="CJ31" s="663" t="s">
        <v>132</v>
      </c>
      <c r="CK31" s="663" t="s">
        <v>132</v>
      </c>
      <c r="CL31" s="663" t="s">
        <v>132</v>
      </c>
      <c r="CM31" s="1954" t="s">
        <v>132</v>
      </c>
      <c r="CN31" s="2023"/>
      <c r="CO31" s="1279"/>
      <c r="CP31" s="1278"/>
      <c r="CQ31" s="1279"/>
      <c r="CR31" s="1001"/>
      <c r="CS31" s="1002"/>
      <c r="CT31" s="1278"/>
      <c r="CU31" s="1278"/>
      <c r="CV31" s="1278"/>
      <c r="CW31" s="1279"/>
      <c r="CX31" s="1001"/>
      <c r="CY31" s="1002"/>
      <c r="CZ31" s="1278"/>
      <c r="DA31" s="1278"/>
      <c r="DB31" s="1278"/>
      <c r="DC31" s="1279"/>
      <c r="DD31" s="1001"/>
      <c r="DE31" s="1006"/>
    </row>
    <row r="32" spans="1:110">
      <c r="A32" s="1936"/>
      <c r="B32" s="3714"/>
      <c r="C32" s="3707"/>
      <c r="D32" s="2012" t="s">
        <v>531</v>
      </c>
      <c r="E32" s="663" t="s">
        <v>132</v>
      </c>
      <c r="F32" s="663" t="s">
        <v>132</v>
      </c>
      <c r="G32" s="663" t="s">
        <v>132</v>
      </c>
      <c r="H32" s="663" t="s">
        <v>132</v>
      </c>
      <c r="I32" s="663" t="s">
        <v>132</v>
      </c>
      <c r="J32" s="663" t="s">
        <v>132</v>
      </c>
      <c r="K32" s="2022" t="s">
        <v>132</v>
      </c>
      <c r="L32" s="663">
        <v>493</v>
      </c>
      <c r="M32" s="663">
        <v>482</v>
      </c>
      <c r="N32" s="663" t="s">
        <v>132</v>
      </c>
      <c r="O32" s="663" t="s">
        <v>132</v>
      </c>
      <c r="P32" s="663" t="s">
        <v>132</v>
      </c>
      <c r="Q32" s="663" t="s">
        <v>132</v>
      </c>
      <c r="R32" s="2022" t="s">
        <v>132</v>
      </c>
      <c r="S32" s="663">
        <v>493</v>
      </c>
      <c r="T32" s="663">
        <v>482</v>
      </c>
      <c r="U32" s="2021" t="s">
        <v>132</v>
      </c>
      <c r="V32" s="2021" t="s">
        <v>132</v>
      </c>
      <c r="W32" s="2021" t="s">
        <v>132</v>
      </c>
      <c r="X32" s="2021" t="s">
        <v>132</v>
      </c>
      <c r="Y32" s="1954" t="s">
        <v>132</v>
      </c>
      <c r="Z32" s="1947"/>
      <c r="AA32" s="663" t="s">
        <v>132</v>
      </c>
      <c r="AB32" s="663" t="s">
        <v>132</v>
      </c>
      <c r="AC32" s="2021" t="s">
        <v>498</v>
      </c>
      <c r="AD32" s="2021" t="s">
        <v>498</v>
      </c>
      <c r="AE32" s="2021" t="s">
        <v>498</v>
      </c>
      <c r="AF32" s="2021" t="s">
        <v>498</v>
      </c>
      <c r="AG32" s="1954" t="s">
        <v>132</v>
      </c>
      <c r="AH32" s="3145">
        <v>46</v>
      </c>
      <c r="AI32" s="663">
        <v>50</v>
      </c>
      <c r="AJ32" s="2021" t="s">
        <v>498</v>
      </c>
      <c r="AK32" s="2021" t="s">
        <v>498</v>
      </c>
      <c r="AL32" s="2021" t="s">
        <v>498</v>
      </c>
      <c r="AM32" s="2021" t="s">
        <v>498</v>
      </c>
      <c r="AN32" s="1954" t="s">
        <v>132</v>
      </c>
      <c r="AO32" s="3145">
        <v>46</v>
      </c>
      <c r="AP32" s="663">
        <v>50</v>
      </c>
      <c r="AQ32" s="2021" t="s">
        <v>498</v>
      </c>
      <c r="AR32" s="2021" t="s">
        <v>498</v>
      </c>
      <c r="AS32" s="2021" t="s">
        <v>498</v>
      </c>
      <c r="AT32" s="2021" t="s">
        <v>498</v>
      </c>
      <c r="AU32" s="1954" t="s">
        <v>132</v>
      </c>
      <c r="AV32" s="1947"/>
      <c r="AW32" s="663" t="s">
        <v>132</v>
      </c>
      <c r="AX32" s="663" t="s">
        <v>132</v>
      </c>
      <c r="AY32" s="2021" t="s">
        <v>498</v>
      </c>
      <c r="AZ32" s="2021" t="s">
        <v>498</v>
      </c>
      <c r="BA32" s="2021" t="s">
        <v>498</v>
      </c>
      <c r="BB32" s="2021" t="s">
        <v>498</v>
      </c>
      <c r="BC32" s="1954" t="s">
        <v>132</v>
      </c>
      <c r="BD32" s="3145">
        <v>264</v>
      </c>
      <c r="BE32" s="663">
        <v>264</v>
      </c>
      <c r="BF32" s="2021" t="s">
        <v>498</v>
      </c>
      <c r="BG32" s="2021" t="s">
        <v>498</v>
      </c>
      <c r="BH32" s="2021" t="s">
        <v>498</v>
      </c>
      <c r="BI32" s="2021" t="s">
        <v>498</v>
      </c>
      <c r="BJ32" s="1954" t="s">
        <v>132</v>
      </c>
      <c r="BK32" s="3145">
        <v>264</v>
      </c>
      <c r="BL32" s="663">
        <v>264</v>
      </c>
      <c r="BM32" s="2021" t="s">
        <v>498</v>
      </c>
      <c r="BN32" s="2021" t="s">
        <v>498</v>
      </c>
      <c r="BO32" s="2021" t="s">
        <v>498</v>
      </c>
      <c r="BP32" s="2021" t="s">
        <v>498</v>
      </c>
      <c r="BQ32" s="1954" t="s">
        <v>132</v>
      </c>
      <c r="BR32" s="1947"/>
      <c r="BS32" s="663" t="s">
        <v>132</v>
      </c>
      <c r="BT32" s="663" t="s">
        <v>132</v>
      </c>
      <c r="BU32" s="663" t="s">
        <v>132</v>
      </c>
      <c r="BV32" s="663" t="s">
        <v>132</v>
      </c>
      <c r="BW32" s="663" t="s">
        <v>132</v>
      </c>
      <c r="BX32" s="663" t="s">
        <v>132</v>
      </c>
      <c r="BY32" s="2022" t="s">
        <v>132</v>
      </c>
      <c r="BZ32" s="663">
        <v>184</v>
      </c>
      <c r="CA32" s="663">
        <v>168</v>
      </c>
      <c r="CB32" s="663" t="s">
        <v>132</v>
      </c>
      <c r="CC32" s="663" t="s">
        <v>132</v>
      </c>
      <c r="CD32" s="663" t="s">
        <v>132</v>
      </c>
      <c r="CE32" s="663" t="s">
        <v>132</v>
      </c>
      <c r="CF32" s="1954" t="s">
        <v>132</v>
      </c>
      <c r="CG32" s="663">
        <v>184</v>
      </c>
      <c r="CH32" s="663">
        <v>168</v>
      </c>
      <c r="CI32" s="663" t="s">
        <v>132</v>
      </c>
      <c r="CJ32" s="663" t="s">
        <v>132</v>
      </c>
      <c r="CK32" s="663" t="s">
        <v>132</v>
      </c>
      <c r="CL32" s="663" t="s">
        <v>132</v>
      </c>
      <c r="CM32" s="1954" t="s">
        <v>132</v>
      </c>
      <c r="CN32" s="2023"/>
      <c r="CO32" s="1279"/>
      <c r="CP32" s="1278"/>
      <c r="CQ32" s="1279"/>
      <c r="CR32" s="1001"/>
      <c r="CS32" s="1002"/>
      <c r="CT32" s="1278"/>
      <c r="CU32" s="1278"/>
      <c r="CV32" s="1278"/>
      <c r="CW32" s="1279"/>
      <c r="CX32" s="1001"/>
      <c r="CY32" s="1002"/>
      <c r="CZ32" s="1278"/>
      <c r="DA32" s="1278"/>
      <c r="DB32" s="1278"/>
      <c r="DC32" s="1279"/>
      <c r="DD32" s="1001"/>
      <c r="DE32" s="1006"/>
    </row>
    <row r="33" spans="1:109" ht="14.45" customHeight="1">
      <c r="A33" s="1936"/>
      <c r="B33" s="3714"/>
      <c r="C33" s="3706" t="s">
        <v>532</v>
      </c>
      <c r="D33" s="2012" t="s">
        <v>533</v>
      </c>
      <c r="E33" s="663"/>
      <c r="F33" s="663" t="s">
        <v>132</v>
      </c>
      <c r="G33" s="663" t="s">
        <v>132</v>
      </c>
      <c r="H33" s="663" t="s">
        <v>132</v>
      </c>
      <c r="I33" s="663" t="s">
        <v>132</v>
      </c>
      <c r="J33" s="663" t="s">
        <v>132</v>
      </c>
      <c r="K33" s="3412" t="s">
        <v>132</v>
      </c>
      <c r="L33" s="3413">
        <v>61</v>
      </c>
      <c r="M33" s="2021">
        <v>1181</v>
      </c>
      <c r="N33" s="2021" t="s">
        <v>132</v>
      </c>
      <c r="O33" s="2021" t="s">
        <v>132</v>
      </c>
      <c r="P33" s="2021" t="s">
        <v>132</v>
      </c>
      <c r="Q33" s="2021" t="s">
        <v>132</v>
      </c>
      <c r="R33" s="3359" t="s">
        <v>132</v>
      </c>
      <c r="S33" s="2021">
        <v>61</v>
      </c>
      <c r="T33" s="2021">
        <v>1181</v>
      </c>
      <c r="U33" s="2021" t="s">
        <v>132</v>
      </c>
      <c r="V33" s="2021" t="s">
        <v>132</v>
      </c>
      <c r="W33" s="2021" t="s">
        <v>132</v>
      </c>
      <c r="X33" s="2021" t="s">
        <v>132</v>
      </c>
      <c r="Y33" s="1954" t="s">
        <v>132</v>
      </c>
      <c r="Z33" s="1947"/>
      <c r="AA33" s="986" t="s">
        <v>132</v>
      </c>
      <c r="AB33" s="986" t="s">
        <v>132</v>
      </c>
      <c r="AC33" s="2021" t="s">
        <v>132</v>
      </c>
      <c r="AD33" s="2021" t="s">
        <v>132</v>
      </c>
      <c r="AE33" s="2021" t="s">
        <v>132</v>
      </c>
      <c r="AF33" s="2021" t="s">
        <v>132</v>
      </c>
      <c r="AG33" s="1954" t="s">
        <v>132</v>
      </c>
      <c r="AH33" s="3149">
        <v>2</v>
      </c>
      <c r="AI33" s="2021">
        <v>12</v>
      </c>
      <c r="AJ33" s="2021" t="s">
        <v>132</v>
      </c>
      <c r="AK33" s="2021" t="s">
        <v>132</v>
      </c>
      <c r="AL33" s="2021" t="s">
        <v>132</v>
      </c>
      <c r="AM33" s="2021" t="s">
        <v>132</v>
      </c>
      <c r="AN33" s="1954" t="s">
        <v>132</v>
      </c>
      <c r="AO33" s="3147">
        <v>2</v>
      </c>
      <c r="AP33" s="2021">
        <v>12</v>
      </c>
      <c r="AQ33" s="2021" t="s">
        <v>132</v>
      </c>
      <c r="AR33" s="2021" t="s">
        <v>132</v>
      </c>
      <c r="AS33" s="2021" t="s">
        <v>132</v>
      </c>
      <c r="AT33" s="2021" t="s">
        <v>132</v>
      </c>
      <c r="AU33" s="1954" t="s">
        <v>132</v>
      </c>
      <c r="AV33" s="1947"/>
      <c r="AW33" s="986" t="s">
        <v>132</v>
      </c>
      <c r="AX33" s="986" t="s">
        <v>132</v>
      </c>
      <c r="AY33" s="986" t="s">
        <v>132</v>
      </c>
      <c r="AZ33" s="986" t="s">
        <v>132</v>
      </c>
      <c r="BA33" s="986" t="s">
        <v>132</v>
      </c>
      <c r="BB33" s="986" t="s">
        <v>132</v>
      </c>
      <c r="BC33" s="1949" t="s">
        <v>132</v>
      </c>
      <c r="BD33" s="3149">
        <v>27</v>
      </c>
      <c r="BE33" s="2021">
        <v>1067</v>
      </c>
      <c r="BF33" s="2021" t="s">
        <v>132</v>
      </c>
      <c r="BG33" s="2021" t="s">
        <v>132</v>
      </c>
      <c r="BH33" s="2021" t="s">
        <v>132</v>
      </c>
      <c r="BI33" s="2021" t="s">
        <v>132</v>
      </c>
      <c r="BJ33" s="1954" t="s">
        <v>132</v>
      </c>
      <c r="BK33" s="3147">
        <v>27</v>
      </c>
      <c r="BL33" s="2021">
        <v>1067</v>
      </c>
      <c r="BM33" s="2021" t="s">
        <v>498</v>
      </c>
      <c r="BN33" s="2021" t="s">
        <v>498</v>
      </c>
      <c r="BO33" s="2021" t="s">
        <v>498</v>
      </c>
      <c r="BP33" s="2021" t="s">
        <v>498</v>
      </c>
      <c r="BQ33" s="1954" t="s">
        <v>132</v>
      </c>
      <c r="BR33" s="1947"/>
      <c r="BS33" s="663" t="s">
        <v>132</v>
      </c>
      <c r="BT33" s="663" t="s">
        <v>132</v>
      </c>
      <c r="BU33" s="663" t="s">
        <v>132</v>
      </c>
      <c r="BV33" s="663" t="s">
        <v>132</v>
      </c>
      <c r="BW33" s="663" t="s">
        <v>132</v>
      </c>
      <c r="BX33" s="663" t="s">
        <v>132</v>
      </c>
      <c r="BY33" s="2022" t="s">
        <v>132</v>
      </c>
      <c r="BZ33" s="3343">
        <v>32</v>
      </c>
      <c r="CA33" s="2021">
        <v>102</v>
      </c>
      <c r="CB33" s="663" t="s">
        <v>132</v>
      </c>
      <c r="CC33" s="663" t="s">
        <v>132</v>
      </c>
      <c r="CD33" s="663" t="s">
        <v>132</v>
      </c>
      <c r="CE33" s="663" t="s">
        <v>132</v>
      </c>
      <c r="CF33" s="1954" t="s">
        <v>132</v>
      </c>
      <c r="CG33" s="3343">
        <v>32</v>
      </c>
      <c r="CH33" s="2021">
        <v>102</v>
      </c>
      <c r="CI33" s="663" t="s">
        <v>132</v>
      </c>
      <c r="CJ33" s="663" t="s">
        <v>132</v>
      </c>
      <c r="CK33" s="663" t="s">
        <v>132</v>
      </c>
      <c r="CL33" s="663" t="s">
        <v>132</v>
      </c>
      <c r="CM33" s="1954" t="s">
        <v>132</v>
      </c>
      <c r="CN33" s="2023"/>
      <c r="CO33" s="1279"/>
      <c r="CP33" s="1278"/>
      <c r="CQ33" s="1279"/>
      <c r="CR33" s="1001"/>
      <c r="CS33" s="1002"/>
      <c r="CT33" s="1278"/>
      <c r="CU33" s="1278"/>
      <c r="CV33" s="1278"/>
      <c r="CW33" s="1279"/>
      <c r="CX33" s="1001"/>
      <c r="CY33" s="1002"/>
      <c r="CZ33" s="1278"/>
      <c r="DA33" s="1278"/>
      <c r="DB33" s="1278"/>
      <c r="DC33" s="1279"/>
      <c r="DD33" s="1001"/>
      <c r="DE33" s="1006"/>
    </row>
    <row r="34" spans="1:109" ht="14.45" customHeight="1">
      <c r="A34" s="1936"/>
      <c r="B34" s="3714"/>
      <c r="C34" s="3707"/>
      <c r="D34" s="2012" t="s">
        <v>534</v>
      </c>
      <c r="E34" s="986" t="s">
        <v>132</v>
      </c>
      <c r="F34" s="986" t="s">
        <v>132</v>
      </c>
      <c r="G34" s="986" t="s">
        <v>132</v>
      </c>
      <c r="H34" s="986" t="s">
        <v>132</v>
      </c>
      <c r="I34" s="986" t="s">
        <v>132</v>
      </c>
      <c r="J34" s="986" t="s">
        <v>132</v>
      </c>
      <c r="K34" s="1949" t="s">
        <v>132</v>
      </c>
      <c r="L34" s="3342">
        <v>425</v>
      </c>
      <c r="M34" s="2021">
        <v>516</v>
      </c>
      <c r="N34" s="2021" t="s">
        <v>132</v>
      </c>
      <c r="O34" s="2021" t="s">
        <v>132</v>
      </c>
      <c r="P34" s="2021" t="s">
        <v>132</v>
      </c>
      <c r="Q34" s="2021" t="s">
        <v>132</v>
      </c>
      <c r="R34" s="3359" t="s">
        <v>132</v>
      </c>
      <c r="S34" s="2021">
        <v>425</v>
      </c>
      <c r="T34" s="2021">
        <v>516</v>
      </c>
      <c r="U34" s="2021" t="s">
        <v>132</v>
      </c>
      <c r="V34" s="2021" t="s">
        <v>132</v>
      </c>
      <c r="W34" s="2021" t="s">
        <v>132</v>
      </c>
      <c r="X34" s="2021" t="s">
        <v>132</v>
      </c>
      <c r="Y34" s="1954" t="s">
        <v>132</v>
      </c>
      <c r="Z34" s="1947"/>
      <c r="AA34" s="986" t="s">
        <v>132</v>
      </c>
      <c r="AB34" s="986" t="s">
        <v>132</v>
      </c>
      <c r="AC34" s="2021" t="s">
        <v>132</v>
      </c>
      <c r="AD34" s="2021" t="s">
        <v>132</v>
      </c>
      <c r="AE34" s="2021" t="s">
        <v>132</v>
      </c>
      <c r="AF34" s="2021" t="s">
        <v>132</v>
      </c>
      <c r="AG34" s="1954" t="s">
        <v>132</v>
      </c>
      <c r="AH34" s="3149">
        <v>14</v>
      </c>
      <c r="AI34" s="2021">
        <v>19</v>
      </c>
      <c r="AJ34" s="2021" t="s">
        <v>132</v>
      </c>
      <c r="AK34" s="2021" t="s">
        <v>132</v>
      </c>
      <c r="AL34" s="2021" t="s">
        <v>132</v>
      </c>
      <c r="AM34" s="2021" t="s">
        <v>132</v>
      </c>
      <c r="AN34" s="1954" t="s">
        <v>132</v>
      </c>
      <c r="AO34" s="3147">
        <v>14</v>
      </c>
      <c r="AP34" s="2021">
        <v>19</v>
      </c>
      <c r="AQ34" s="2021" t="s">
        <v>132</v>
      </c>
      <c r="AR34" s="2021" t="s">
        <v>132</v>
      </c>
      <c r="AS34" s="2021" t="s">
        <v>132</v>
      </c>
      <c r="AT34" s="2021" t="s">
        <v>132</v>
      </c>
      <c r="AU34" s="1954" t="s">
        <v>132</v>
      </c>
      <c r="AV34" s="1947"/>
      <c r="AW34" s="986" t="s">
        <v>132</v>
      </c>
      <c r="AX34" s="986" t="s">
        <v>132</v>
      </c>
      <c r="AY34" s="986" t="s">
        <v>132</v>
      </c>
      <c r="AZ34" s="986" t="s">
        <v>132</v>
      </c>
      <c r="BA34" s="986" t="s">
        <v>132</v>
      </c>
      <c r="BB34" s="986" t="s">
        <v>132</v>
      </c>
      <c r="BC34" s="1949" t="s">
        <v>132</v>
      </c>
      <c r="BD34" s="3149">
        <v>302</v>
      </c>
      <c r="BE34" s="2021">
        <v>385</v>
      </c>
      <c r="BF34" s="2021" t="s">
        <v>132</v>
      </c>
      <c r="BG34" s="2021" t="s">
        <v>132</v>
      </c>
      <c r="BH34" s="2021" t="s">
        <v>132</v>
      </c>
      <c r="BI34" s="2021" t="s">
        <v>132</v>
      </c>
      <c r="BJ34" s="1954" t="s">
        <v>132</v>
      </c>
      <c r="BK34" s="3147">
        <v>302</v>
      </c>
      <c r="BL34" s="2021">
        <v>385</v>
      </c>
      <c r="BM34" s="2021" t="s">
        <v>498</v>
      </c>
      <c r="BN34" s="2021" t="s">
        <v>498</v>
      </c>
      <c r="BO34" s="2021" t="s">
        <v>498</v>
      </c>
      <c r="BP34" s="2021" t="s">
        <v>498</v>
      </c>
      <c r="BQ34" s="1954" t="s">
        <v>132</v>
      </c>
      <c r="BR34" s="1947"/>
      <c r="BS34" s="3342" t="s">
        <v>132</v>
      </c>
      <c r="BT34" s="991" t="s">
        <v>132</v>
      </c>
      <c r="BU34" s="991" t="s">
        <v>132</v>
      </c>
      <c r="BV34" s="991" t="s">
        <v>132</v>
      </c>
      <c r="BW34" s="991" t="s">
        <v>132</v>
      </c>
      <c r="BX34" s="991" t="s">
        <v>132</v>
      </c>
      <c r="BY34" s="2017" t="s">
        <v>132</v>
      </c>
      <c r="BZ34" s="3343">
        <v>109</v>
      </c>
      <c r="CA34" s="2021">
        <v>113</v>
      </c>
      <c r="CB34" s="663" t="s">
        <v>132</v>
      </c>
      <c r="CC34" s="663" t="s">
        <v>132</v>
      </c>
      <c r="CD34" s="663" t="s">
        <v>132</v>
      </c>
      <c r="CE34" s="663" t="s">
        <v>132</v>
      </c>
      <c r="CF34" s="1954" t="s">
        <v>132</v>
      </c>
      <c r="CG34" s="3343">
        <v>109</v>
      </c>
      <c r="CH34" s="2021">
        <v>113</v>
      </c>
      <c r="CI34" s="663" t="s">
        <v>132</v>
      </c>
      <c r="CJ34" s="663" t="s">
        <v>132</v>
      </c>
      <c r="CK34" s="663" t="s">
        <v>132</v>
      </c>
      <c r="CL34" s="663" t="s">
        <v>132</v>
      </c>
      <c r="CM34" s="1954" t="s">
        <v>132</v>
      </c>
      <c r="CN34" s="2023"/>
      <c r="CO34" s="1279"/>
      <c r="CP34" s="1278"/>
      <c r="CQ34" s="1279"/>
      <c r="CR34" s="1001"/>
      <c r="CS34" s="1002"/>
      <c r="CT34" s="1278"/>
      <c r="CU34" s="1278"/>
      <c r="CV34" s="1278"/>
      <c r="CW34" s="1279"/>
      <c r="CX34" s="1001"/>
      <c r="CY34" s="1002"/>
      <c r="CZ34" s="1278"/>
      <c r="DA34" s="1278"/>
      <c r="DB34" s="1278"/>
      <c r="DC34" s="1279"/>
      <c r="DD34" s="1001"/>
      <c r="DE34" s="1006"/>
    </row>
    <row r="35" spans="1:109">
      <c r="A35" s="1936"/>
      <c r="B35" s="3714"/>
      <c r="C35" s="3702" t="s">
        <v>535</v>
      </c>
      <c r="D35" s="2012" t="s">
        <v>536</v>
      </c>
      <c r="E35" s="986" t="s">
        <v>132</v>
      </c>
      <c r="F35" s="986" t="s">
        <v>132</v>
      </c>
      <c r="G35" s="142" t="s">
        <v>132</v>
      </c>
      <c r="H35" s="142" t="s">
        <v>132</v>
      </c>
      <c r="I35" s="142" t="s">
        <v>132</v>
      </c>
      <c r="J35" s="142" t="s">
        <v>132</v>
      </c>
      <c r="K35" s="1944" t="s">
        <v>132</v>
      </c>
      <c r="L35" s="3342">
        <v>1792</v>
      </c>
      <c r="M35" s="678">
        <v>1409</v>
      </c>
      <c r="N35" s="678">
        <v>772</v>
      </c>
      <c r="O35" s="678">
        <v>150</v>
      </c>
      <c r="P35" s="678">
        <v>54.835653802666663</v>
      </c>
      <c r="Q35" s="678">
        <v>4460.1914107887624</v>
      </c>
      <c r="R35" s="1954">
        <v>1978.5127639288482</v>
      </c>
      <c r="S35" s="678">
        <v>1792</v>
      </c>
      <c r="T35" s="678">
        <v>1409</v>
      </c>
      <c r="U35" s="678">
        <v>772</v>
      </c>
      <c r="V35" s="678">
        <v>150</v>
      </c>
      <c r="W35" s="678">
        <v>54.835653802666663</v>
      </c>
      <c r="X35" s="678">
        <v>4460.1914107887624</v>
      </c>
      <c r="Y35" s="1946">
        <v>1978.5127639288482</v>
      </c>
      <c r="Z35" s="1947"/>
      <c r="AA35" s="986" t="s">
        <v>132</v>
      </c>
      <c r="AB35" s="986" t="s">
        <v>132</v>
      </c>
      <c r="AC35" s="142" t="s">
        <v>132</v>
      </c>
      <c r="AD35" s="142" t="s">
        <v>132</v>
      </c>
      <c r="AE35" s="142" t="s">
        <v>132</v>
      </c>
      <c r="AF35" s="142" t="s">
        <v>132</v>
      </c>
      <c r="AG35" s="1944" t="s">
        <v>132</v>
      </c>
      <c r="AH35" s="3160">
        <v>100</v>
      </c>
      <c r="AI35" s="2021">
        <v>93.841542942988951</v>
      </c>
      <c r="AJ35" s="678">
        <v>13</v>
      </c>
      <c r="AK35" s="678">
        <v>5</v>
      </c>
      <c r="AL35" s="678">
        <v>8.4330571320000018</v>
      </c>
      <c r="AM35" s="678">
        <v>64.519911007261499</v>
      </c>
      <c r="AN35" s="1946">
        <v>145.89874692693033</v>
      </c>
      <c r="AO35" s="3151">
        <v>100</v>
      </c>
      <c r="AP35" s="2021">
        <v>93.841542942988951</v>
      </c>
      <c r="AQ35" s="678">
        <v>13.2</v>
      </c>
      <c r="AR35" s="678">
        <v>5</v>
      </c>
      <c r="AS35" s="678">
        <v>8.4330571320000018</v>
      </c>
      <c r="AT35" s="678">
        <v>64.519911007261499</v>
      </c>
      <c r="AU35" s="1946">
        <v>145.89874692693033</v>
      </c>
      <c r="AV35" s="1947"/>
      <c r="AW35" s="986" t="s">
        <v>132</v>
      </c>
      <c r="AX35" s="986" t="s">
        <v>132</v>
      </c>
      <c r="AY35" s="142" t="s">
        <v>132</v>
      </c>
      <c r="AZ35" s="142" t="s">
        <v>132</v>
      </c>
      <c r="BA35" s="142" t="s">
        <v>132</v>
      </c>
      <c r="BB35" s="142" t="s">
        <v>132</v>
      </c>
      <c r="BC35" s="1944" t="s">
        <v>132</v>
      </c>
      <c r="BD35" s="3160">
        <v>511</v>
      </c>
      <c r="BE35" s="2021">
        <v>458.0425006080398</v>
      </c>
      <c r="BF35" s="678">
        <v>147</v>
      </c>
      <c r="BG35" s="678">
        <v>24</v>
      </c>
      <c r="BH35" s="678">
        <v>14.030318154000007</v>
      </c>
      <c r="BI35" s="678">
        <v>400.54437933490976</v>
      </c>
      <c r="BJ35" s="1946">
        <v>493.73198287611143</v>
      </c>
      <c r="BK35" s="3151">
        <v>511</v>
      </c>
      <c r="BL35" s="2021">
        <v>458.0425006080398</v>
      </c>
      <c r="BM35" s="678">
        <v>147</v>
      </c>
      <c r="BN35" s="678">
        <v>24</v>
      </c>
      <c r="BO35" s="678">
        <v>14.030318154000007</v>
      </c>
      <c r="BP35" s="678">
        <v>400.54437933490976</v>
      </c>
      <c r="BQ35" s="1946">
        <v>493.73198287611143</v>
      </c>
      <c r="BR35" s="1947"/>
      <c r="BS35" s="3342" t="s">
        <v>132</v>
      </c>
      <c r="BT35" s="991" t="s">
        <v>132</v>
      </c>
      <c r="BU35" s="991" t="s">
        <v>132</v>
      </c>
      <c r="BV35" s="991" t="s">
        <v>132</v>
      </c>
      <c r="BW35" s="991" t="s">
        <v>132</v>
      </c>
      <c r="BX35" s="991" t="s">
        <v>132</v>
      </c>
      <c r="BY35" s="2017" t="s">
        <v>132</v>
      </c>
      <c r="BZ35" s="3343">
        <v>283</v>
      </c>
      <c r="CA35" s="2021">
        <v>189</v>
      </c>
      <c r="CB35" s="678">
        <v>69</v>
      </c>
      <c r="CC35" s="678">
        <v>18</v>
      </c>
      <c r="CD35" s="678">
        <v>20.042673772000001</v>
      </c>
      <c r="CE35" s="678">
        <v>532.0266230992338</v>
      </c>
      <c r="CF35" s="1946">
        <v>410.9244977479143</v>
      </c>
      <c r="CG35" s="3343">
        <v>283</v>
      </c>
      <c r="CH35" s="2021">
        <v>189</v>
      </c>
      <c r="CI35" s="678">
        <v>69</v>
      </c>
      <c r="CJ35" s="678">
        <v>18</v>
      </c>
      <c r="CK35" s="678">
        <v>20.042673772000001</v>
      </c>
      <c r="CL35" s="678">
        <v>532.0266230992338</v>
      </c>
      <c r="CM35" s="1946">
        <v>410.9244977479143</v>
      </c>
      <c r="CN35" s="986"/>
      <c r="CO35" s="142"/>
      <c r="CP35" s="142"/>
      <c r="CQ35" s="142"/>
      <c r="CR35" s="984"/>
      <c r="CS35" s="994"/>
      <c r="CT35" s="986"/>
      <c r="CU35" s="142"/>
      <c r="CV35" s="142"/>
      <c r="CW35" s="142"/>
      <c r="CX35" s="984"/>
      <c r="CY35" s="994"/>
      <c r="CZ35" s="986"/>
      <c r="DA35" s="142"/>
      <c r="DB35" s="142"/>
      <c r="DC35" s="142"/>
      <c r="DD35" s="984"/>
      <c r="DE35" s="1005"/>
    </row>
    <row r="36" spans="1:109" ht="14.45" customHeight="1">
      <c r="A36" s="1936"/>
      <c r="B36" s="3714"/>
      <c r="C36" s="3703"/>
      <c r="D36" s="2012" t="s">
        <v>537</v>
      </c>
      <c r="E36" s="986" t="s">
        <v>132</v>
      </c>
      <c r="F36" s="986" t="s">
        <v>132</v>
      </c>
      <c r="G36" s="986" t="s">
        <v>132</v>
      </c>
      <c r="H36" s="986" t="s">
        <v>132</v>
      </c>
      <c r="I36" s="986" t="s">
        <v>132</v>
      </c>
      <c r="J36" s="986" t="s">
        <v>132</v>
      </c>
      <c r="K36" s="1989" t="s">
        <v>132</v>
      </c>
      <c r="L36" s="3413">
        <v>155</v>
      </c>
      <c r="M36" s="663">
        <v>142</v>
      </c>
      <c r="N36" s="663">
        <v>109</v>
      </c>
      <c r="O36" s="57">
        <v>58</v>
      </c>
      <c r="P36" s="57">
        <v>7.3714078799999996</v>
      </c>
      <c r="Q36" s="2015">
        <v>7.3714078799999996</v>
      </c>
      <c r="R36" s="2020">
        <v>97.618647316900152</v>
      </c>
      <c r="S36" s="663">
        <v>155</v>
      </c>
      <c r="T36" s="663">
        <v>142</v>
      </c>
      <c r="U36" s="663">
        <v>109</v>
      </c>
      <c r="V36" s="57">
        <v>58</v>
      </c>
      <c r="W36" s="57">
        <v>7.3714078799999996</v>
      </c>
      <c r="X36" s="2015">
        <v>7.3714078799999996</v>
      </c>
      <c r="Y36" s="1954">
        <v>97.618647316900152</v>
      </c>
      <c r="Z36" s="1947"/>
      <c r="AA36" s="986" t="s">
        <v>132</v>
      </c>
      <c r="AB36" s="986" t="s">
        <v>132</v>
      </c>
      <c r="AC36" s="142" t="s">
        <v>132</v>
      </c>
      <c r="AD36" s="142" t="s">
        <v>132</v>
      </c>
      <c r="AE36" s="142" t="s">
        <v>132</v>
      </c>
      <c r="AF36" s="142" t="s">
        <v>132</v>
      </c>
      <c r="AG36" s="1944" t="s">
        <v>132</v>
      </c>
      <c r="AH36" s="3149">
        <v>1</v>
      </c>
      <c r="AI36" s="2021">
        <v>1.8807958674005678</v>
      </c>
      <c r="AJ36" s="663">
        <v>1</v>
      </c>
      <c r="AK36" s="57" t="s">
        <v>498</v>
      </c>
      <c r="AL36" s="57" t="s">
        <v>132</v>
      </c>
      <c r="AM36" s="2015" t="s">
        <v>132</v>
      </c>
      <c r="AN36" s="1954">
        <v>17.689676663451937</v>
      </c>
      <c r="AO36" s="3147">
        <v>1</v>
      </c>
      <c r="AP36" s="2021">
        <v>1.8807958674005678</v>
      </c>
      <c r="AQ36" s="663">
        <v>1.2</v>
      </c>
      <c r="AR36" s="57" t="s">
        <v>498</v>
      </c>
      <c r="AS36" s="57" t="s">
        <v>132</v>
      </c>
      <c r="AT36" s="2015" t="s">
        <v>132</v>
      </c>
      <c r="AU36" s="1954">
        <v>17.689676663451937</v>
      </c>
      <c r="AV36" s="1947"/>
      <c r="AW36" s="986" t="s">
        <v>132</v>
      </c>
      <c r="AX36" s="986" t="s">
        <v>132</v>
      </c>
      <c r="AY36" s="142" t="s">
        <v>132</v>
      </c>
      <c r="AZ36" s="142" t="s">
        <v>132</v>
      </c>
      <c r="BA36" s="142" t="s">
        <v>132</v>
      </c>
      <c r="BB36" s="142" t="s">
        <v>132</v>
      </c>
      <c r="BC36" s="1944" t="s">
        <v>132</v>
      </c>
      <c r="BD36" s="3149">
        <v>1</v>
      </c>
      <c r="BE36" s="2021" t="s">
        <v>132</v>
      </c>
      <c r="BF36" s="663" t="s">
        <v>498</v>
      </c>
      <c r="BG36" s="57" t="s">
        <v>498</v>
      </c>
      <c r="BH36" s="57" t="s">
        <v>132</v>
      </c>
      <c r="BI36" s="2015" t="s">
        <v>132</v>
      </c>
      <c r="BJ36" s="1954">
        <v>15.393944204666514</v>
      </c>
      <c r="BK36" s="3147">
        <v>1</v>
      </c>
      <c r="BL36" s="2021" t="s">
        <v>132</v>
      </c>
      <c r="BM36" s="663" t="s">
        <v>498</v>
      </c>
      <c r="BN36" s="57" t="s">
        <v>498</v>
      </c>
      <c r="BO36" s="57" t="s">
        <v>132</v>
      </c>
      <c r="BP36" s="2015" t="s">
        <v>132</v>
      </c>
      <c r="BQ36" s="1954">
        <v>15.393944204666514</v>
      </c>
      <c r="BR36" s="1947"/>
      <c r="BS36" s="986" t="s">
        <v>132</v>
      </c>
      <c r="BT36" s="986" t="s">
        <v>132</v>
      </c>
      <c r="BU36" s="142" t="s">
        <v>132</v>
      </c>
      <c r="BV36" s="142" t="s">
        <v>132</v>
      </c>
      <c r="BW36" s="142" t="s">
        <v>132</v>
      </c>
      <c r="BX36" s="142" t="s">
        <v>132</v>
      </c>
      <c r="BY36" s="1944" t="s">
        <v>132</v>
      </c>
      <c r="BZ36" s="3343">
        <v>6</v>
      </c>
      <c r="CA36" s="2021" t="s">
        <v>132</v>
      </c>
      <c r="CB36" s="663" t="s">
        <v>498</v>
      </c>
      <c r="CC36" s="57" t="s">
        <v>498</v>
      </c>
      <c r="CD36" s="57" t="s">
        <v>132</v>
      </c>
      <c r="CE36" s="2015" t="s">
        <v>132</v>
      </c>
      <c r="CF36" s="1954">
        <v>4.585794435951696</v>
      </c>
      <c r="CG36" s="3343">
        <v>6</v>
      </c>
      <c r="CH36" s="2021" t="s">
        <v>132</v>
      </c>
      <c r="CI36" s="663" t="s">
        <v>498</v>
      </c>
      <c r="CJ36" s="57" t="s">
        <v>498</v>
      </c>
      <c r="CK36" s="57" t="s">
        <v>132</v>
      </c>
      <c r="CL36" s="2015" t="s">
        <v>132</v>
      </c>
      <c r="CM36" s="1954">
        <v>4.585794435951696</v>
      </c>
      <c r="CN36" s="663"/>
      <c r="CO36" s="662"/>
      <c r="CP36" s="57"/>
      <c r="CQ36" s="57"/>
      <c r="CR36" s="984"/>
      <c r="CS36" s="994"/>
      <c r="CT36" s="663"/>
      <c r="CU36" s="662"/>
      <c r="CV36" s="57"/>
      <c r="CW36" s="57"/>
      <c r="CX36" s="984"/>
      <c r="CY36" s="994"/>
      <c r="CZ36" s="663"/>
      <c r="DA36" s="662"/>
      <c r="DB36" s="57"/>
      <c r="DC36" s="57"/>
      <c r="DD36" s="984"/>
      <c r="DE36" s="1005"/>
    </row>
    <row r="37" spans="1:109">
      <c r="A37" s="1936"/>
      <c r="B37" s="3714"/>
      <c r="C37" s="3702" t="s">
        <v>538</v>
      </c>
      <c r="D37" s="3357" t="s">
        <v>539</v>
      </c>
      <c r="E37" s="991" t="s">
        <v>132</v>
      </c>
      <c r="F37" s="991" t="s">
        <v>132</v>
      </c>
      <c r="G37" s="144" t="s">
        <v>132</v>
      </c>
      <c r="H37" s="144" t="s">
        <v>132</v>
      </c>
      <c r="I37" s="144" t="s">
        <v>132</v>
      </c>
      <c r="J37" s="2018" t="s">
        <v>132</v>
      </c>
      <c r="K37" s="2017" t="s">
        <v>132</v>
      </c>
      <c r="L37" s="3340">
        <v>2271</v>
      </c>
      <c r="M37" s="2015">
        <v>1755</v>
      </c>
      <c r="N37" s="2015">
        <v>180</v>
      </c>
      <c r="O37" s="2015">
        <v>207</v>
      </c>
      <c r="P37" s="2015">
        <v>206.91054401410955</v>
      </c>
      <c r="Q37" s="2019">
        <v>206.91054401410955</v>
      </c>
      <c r="R37" s="2020" t="s">
        <v>132</v>
      </c>
      <c r="S37" s="2015">
        <v>2271</v>
      </c>
      <c r="T37" s="2015">
        <v>1755</v>
      </c>
      <c r="U37" s="2015">
        <v>180</v>
      </c>
      <c r="V37" s="2015">
        <v>207</v>
      </c>
      <c r="W37" s="2015">
        <v>206.91054401410955</v>
      </c>
      <c r="X37" s="2019">
        <v>206.91054401410955</v>
      </c>
      <c r="Y37" s="2020" t="s">
        <v>132</v>
      </c>
      <c r="Z37" s="2011"/>
      <c r="AA37" s="991" t="s">
        <v>132</v>
      </c>
      <c r="AB37" s="991" t="s">
        <v>132</v>
      </c>
      <c r="AC37" s="144" t="s">
        <v>132</v>
      </c>
      <c r="AD37" s="144" t="s">
        <v>132</v>
      </c>
      <c r="AE37" s="144" t="s">
        <v>132</v>
      </c>
      <c r="AF37" s="2018" t="s">
        <v>132</v>
      </c>
      <c r="AG37" s="2017" t="s">
        <v>132</v>
      </c>
      <c r="AH37" s="3159">
        <v>215</v>
      </c>
      <c r="AI37" s="2014">
        <v>197</v>
      </c>
      <c r="AJ37" s="2015">
        <v>19</v>
      </c>
      <c r="AK37" s="2015">
        <v>13</v>
      </c>
      <c r="AL37" s="2015">
        <v>12.748236052043145</v>
      </c>
      <c r="AM37" s="2019">
        <v>12.748236052043145</v>
      </c>
      <c r="AN37" s="2020" t="s">
        <v>132</v>
      </c>
      <c r="AO37" s="3166">
        <v>215</v>
      </c>
      <c r="AP37" s="2014">
        <v>197</v>
      </c>
      <c r="AQ37" s="2015">
        <v>19</v>
      </c>
      <c r="AR37" s="2015">
        <v>13</v>
      </c>
      <c r="AS37" s="2015">
        <v>12.748236052043145</v>
      </c>
      <c r="AT37" s="2019">
        <v>12.748236052043145</v>
      </c>
      <c r="AU37" s="2020" t="s">
        <v>132</v>
      </c>
      <c r="AV37" s="2011"/>
      <c r="AW37" s="991" t="s">
        <v>132</v>
      </c>
      <c r="AX37" s="991" t="s">
        <v>132</v>
      </c>
      <c r="AY37" s="144" t="s">
        <v>132</v>
      </c>
      <c r="AZ37" s="144" t="s">
        <v>132</v>
      </c>
      <c r="BA37" s="144" t="s">
        <v>132</v>
      </c>
      <c r="BB37" s="2018" t="s">
        <v>132</v>
      </c>
      <c r="BC37" s="2017" t="s">
        <v>132</v>
      </c>
      <c r="BD37" s="3159">
        <v>1403</v>
      </c>
      <c r="BE37" s="2014">
        <v>990</v>
      </c>
      <c r="BF37" s="2015">
        <v>57</v>
      </c>
      <c r="BG37" s="2015">
        <v>48</v>
      </c>
      <c r="BH37" s="2015">
        <v>47.509726196556464</v>
      </c>
      <c r="BI37" s="2019">
        <v>47.509726196556464</v>
      </c>
      <c r="BJ37" s="2020" t="s">
        <v>132</v>
      </c>
      <c r="BK37" s="3166">
        <v>1403</v>
      </c>
      <c r="BL37" s="2014">
        <v>990</v>
      </c>
      <c r="BM37" s="2015">
        <v>57</v>
      </c>
      <c r="BN37" s="2015">
        <v>48</v>
      </c>
      <c r="BO37" s="2015">
        <v>47.509726196556464</v>
      </c>
      <c r="BP37" s="2019">
        <v>47.509726196556464</v>
      </c>
      <c r="BQ37" s="2020" t="s">
        <v>132</v>
      </c>
      <c r="BR37" s="2011"/>
      <c r="BS37" s="3340" t="s">
        <v>132</v>
      </c>
      <c r="BT37" s="991" t="s">
        <v>132</v>
      </c>
      <c r="BU37" s="991" t="s">
        <v>132</v>
      </c>
      <c r="BV37" s="991" t="s">
        <v>132</v>
      </c>
      <c r="BW37" s="991" t="s">
        <v>132</v>
      </c>
      <c r="BX37" s="991" t="s">
        <v>132</v>
      </c>
      <c r="BY37" s="2017" t="s">
        <v>132</v>
      </c>
      <c r="BZ37" s="3341">
        <v>652</v>
      </c>
      <c r="CA37" s="2014">
        <v>568</v>
      </c>
      <c r="CB37" s="2015"/>
      <c r="CC37" s="2015"/>
      <c r="CD37" s="2015"/>
      <c r="CE37" s="2019"/>
      <c r="CF37" s="2020" t="s">
        <v>132</v>
      </c>
      <c r="CG37" s="3341">
        <v>652</v>
      </c>
      <c r="CH37" s="2014">
        <v>568</v>
      </c>
      <c r="CI37" s="2015"/>
      <c r="CJ37" s="2015"/>
      <c r="CK37" s="2015"/>
      <c r="CL37" s="2019"/>
      <c r="CM37" s="2020" t="s">
        <v>132</v>
      </c>
      <c r="CN37" s="991"/>
      <c r="CO37" s="144"/>
      <c r="CP37" s="144"/>
      <c r="CQ37" s="144"/>
      <c r="CR37" s="984"/>
      <c r="CS37" s="994"/>
      <c r="CT37" s="991"/>
      <c r="CU37" s="144"/>
      <c r="CV37" s="144"/>
      <c r="CW37" s="144"/>
      <c r="CX37" s="984"/>
      <c r="CY37" s="994"/>
      <c r="CZ37" s="991"/>
      <c r="DA37" s="144"/>
      <c r="DB37" s="144"/>
      <c r="DC37" s="144"/>
      <c r="DD37" s="984"/>
      <c r="DE37" s="1005"/>
    </row>
    <row r="38" spans="1:109">
      <c r="A38" s="1936"/>
      <c r="B38" s="3714"/>
      <c r="C38" s="3703"/>
      <c r="D38" s="2101" t="s">
        <v>540</v>
      </c>
      <c r="E38" s="990" t="s">
        <v>132</v>
      </c>
      <c r="F38" s="990" t="s">
        <v>132</v>
      </c>
      <c r="G38" s="492" t="s">
        <v>132</v>
      </c>
      <c r="H38" s="492" t="s">
        <v>132</v>
      </c>
      <c r="I38" s="492" t="s">
        <v>132</v>
      </c>
      <c r="J38" s="492" t="s">
        <v>132</v>
      </c>
      <c r="K38" s="2007" t="s">
        <v>132</v>
      </c>
      <c r="L38" s="3338">
        <v>3598</v>
      </c>
      <c r="M38" s="2009">
        <v>2752</v>
      </c>
      <c r="N38" s="2009">
        <v>8773</v>
      </c>
      <c r="O38" s="2009">
        <v>5533</v>
      </c>
      <c r="P38" s="2009">
        <v>5533.2836552886038</v>
      </c>
      <c r="Q38" s="2009">
        <v>5533.2836552886038</v>
      </c>
      <c r="R38" s="2010">
        <v>11231.220735833176</v>
      </c>
      <c r="S38" s="2009">
        <v>3598</v>
      </c>
      <c r="T38" s="2009">
        <v>2752</v>
      </c>
      <c r="U38" s="2009">
        <v>8773</v>
      </c>
      <c r="V38" s="2009">
        <v>5533</v>
      </c>
      <c r="W38" s="2009">
        <v>5533.2836552886038</v>
      </c>
      <c r="X38" s="2009">
        <v>5533.2836552886038</v>
      </c>
      <c r="Y38" s="2010">
        <v>8498.65</v>
      </c>
      <c r="Z38" s="2011"/>
      <c r="AA38" s="990" t="s">
        <v>132</v>
      </c>
      <c r="AB38" s="990" t="s">
        <v>132</v>
      </c>
      <c r="AC38" s="492" t="s">
        <v>132</v>
      </c>
      <c r="AD38" s="492" t="s">
        <v>132</v>
      </c>
      <c r="AE38" s="492" t="s">
        <v>132</v>
      </c>
      <c r="AF38" s="492" t="s">
        <v>132</v>
      </c>
      <c r="AG38" s="2007" t="s">
        <v>132</v>
      </c>
      <c r="AH38" s="3157">
        <v>341</v>
      </c>
      <c r="AI38" s="2008">
        <v>309</v>
      </c>
      <c r="AJ38" s="2009">
        <v>992</v>
      </c>
      <c r="AK38" s="2009">
        <v>581</v>
      </c>
      <c r="AL38" s="2009">
        <v>580.51985873553701</v>
      </c>
      <c r="AM38" s="2009">
        <v>580.51985873553701</v>
      </c>
      <c r="AN38" s="2010">
        <v>941.61</v>
      </c>
      <c r="AO38" s="3173">
        <v>341</v>
      </c>
      <c r="AP38" s="2008">
        <v>309</v>
      </c>
      <c r="AQ38" s="2009">
        <v>992</v>
      </c>
      <c r="AR38" s="2009">
        <v>581</v>
      </c>
      <c r="AS38" s="2009">
        <v>580.51985873553701</v>
      </c>
      <c r="AT38" s="2009">
        <v>580.51985873553701</v>
      </c>
      <c r="AU38" s="2010">
        <v>941.61</v>
      </c>
      <c r="AV38" s="2011"/>
      <c r="AW38" s="990" t="s">
        <v>132</v>
      </c>
      <c r="AX38" s="990" t="s">
        <v>132</v>
      </c>
      <c r="AY38" s="492" t="s">
        <v>132</v>
      </c>
      <c r="AZ38" s="492" t="s">
        <v>132</v>
      </c>
      <c r="BA38" s="492" t="s">
        <v>132</v>
      </c>
      <c r="BB38" s="492" t="s">
        <v>132</v>
      </c>
      <c r="BC38" s="2007" t="s">
        <v>132</v>
      </c>
      <c r="BD38" s="3157">
        <v>2224</v>
      </c>
      <c r="BE38" s="2008">
        <v>1552</v>
      </c>
      <c r="BF38" s="2009">
        <v>3388</v>
      </c>
      <c r="BG38" s="2009">
        <v>2403</v>
      </c>
      <c r="BH38" s="2009">
        <v>2403.4695976984108</v>
      </c>
      <c r="BI38" s="2009">
        <v>2403.4695976984108</v>
      </c>
      <c r="BJ38" s="2010">
        <v>5435.4807358331764</v>
      </c>
      <c r="BK38" s="3173">
        <v>2224</v>
      </c>
      <c r="BL38" s="2008">
        <v>1552</v>
      </c>
      <c r="BM38" s="2009">
        <v>3388</v>
      </c>
      <c r="BN38" s="2009">
        <v>2403</v>
      </c>
      <c r="BO38" s="2009">
        <v>2403.4695976984108</v>
      </c>
      <c r="BP38" s="2009">
        <v>2403.4695976984108</v>
      </c>
      <c r="BQ38" s="2010">
        <v>5435.4807358331764</v>
      </c>
      <c r="BR38" s="2011"/>
      <c r="BS38" s="3338" t="s">
        <v>132</v>
      </c>
      <c r="BT38" s="991" t="s">
        <v>132</v>
      </c>
      <c r="BU38" s="991" t="s">
        <v>132</v>
      </c>
      <c r="BV38" s="991" t="s">
        <v>132</v>
      </c>
      <c r="BW38" s="991" t="s">
        <v>132</v>
      </c>
      <c r="BX38" s="991" t="s">
        <v>132</v>
      </c>
      <c r="BY38" s="2007" t="s">
        <v>132</v>
      </c>
      <c r="BZ38" s="3339">
        <v>1033</v>
      </c>
      <c r="CA38" s="2008">
        <v>891</v>
      </c>
      <c r="CB38" s="2009">
        <v>4393</v>
      </c>
      <c r="CC38" s="2009">
        <v>2549</v>
      </c>
      <c r="CD38" s="2009">
        <v>2549.2941988546563</v>
      </c>
      <c r="CE38" s="2009">
        <v>2549.2941988546563</v>
      </c>
      <c r="CF38" s="2010">
        <v>4854.13</v>
      </c>
      <c r="CG38" s="3339">
        <v>1033</v>
      </c>
      <c r="CH38" s="2008">
        <v>891</v>
      </c>
      <c r="CI38" s="2009">
        <v>4393</v>
      </c>
      <c r="CJ38" s="2009">
        <v>2549</v>
      </c>
      <c r="CK38" s="2009">
        <v>2549.2941988546563</v>
      </c>
      <c r="CL38" s="2009">
        <v>2549.2941988546563</v>
      </c>
      <c r="CM38" s="2010">
        <v>4854.13</v>
      </c>
      <c r="CN38" s="990"/>
      <c r="CO38" s="492"/>
      <c r="CP38" s="492"/>
      <c r="CQ38" s="492"/>
      <c r="CR38" s="984"/>
      <c r="CS38" s="994"/>
      <c r="CT38" s="990"/>
      <c r="CU38" s="492"/>
      <c r="CV38" s="492"/>
      <c r="CW38" s="492"/>
      <c r="CX38" s="984"/>
      <c r="CY38" s="994"/>
      <c r="CZ38" s="990"/>
      <c r="DA38" s="492"/>
      <c r="DB38" s="492"/>
      <c r="DC38" s="492"/>
      <c r="DD38" s="984"/>
      <c r="DE38" s="1005"/>
    </row>
    <row r="39" spans="1:109">
      <c r="A39" s="1936"/>
      <c r="B39" s="3714"/>
      <c r="C39" s="3702" t="s">
        <v>541</v>
      </c>
      <c r="D39" s="2012" t="s">
        <v>542</v>
      </c>
      <c r="E39" s="991" t="s">
        <v>132</v>
      </c>
      <c r="F39" s="991" t="s">
        <v>132</v>
      </c>
      <c r="G39" s="144" t="s">
        <v>132</v>
      </c>
      <c r="H39" s="144" t="s">
        <v>132</v>
      </c>
      <c r="I39" s="144" t="s">
        <v>132</v>
      </c>
      <c r="J39" s="144" t="s">
        <v>132</v>
      </c>
      <c r="K39" s="2013" t="s">
        <v>132</v>
      </c>
      <c r="L39" s="3340">
        <v>19352</v>
      </c>
      <c r="M39" s="2015">
        <v>14811</v>
      </c>
      <c r="N39" s="2015">
        <v>69162</v>
      </c>
      <c r="O39" s="2015">
        <v>51005</v>
      </c>
      <c r="P39" s="2015">
        <v>51005.122878096889</v>
      </c>
      <c r="Q39" s="2015">
        <v>51005.122878096889</v>
      </c>
      <c r="R39" s="2020">
        <v>94557.640599079343</v>
      </c>
      <c r="S39" s="2015">
        <v>19352</v>
      </c>
      <c r="T39" s="2015">
        <v>14811</v>
      </c>
      <c r="U39" s="2015">
        <v>69162</v>
      </c>
      <c r="V39" s="2015">
        <v>51005</v>
      </c>
      <c r="W39" s="2015">
        <v>51005.122878096889</v>
      </c>
      <c r="X39" s="2015">
        <v>51005.122878096889</v>
      </c>
      <c r="Y39" s="2016">
        <v>72831.149999999994</v>
      </c>
      <c r="Z39" s="2011"/>
      <c r="AA39" s="991" t="s">
        <v>132</v>
      </c>
      <c r="AB39" s="991" t="s">
        <v>132</v>
      </c>
      <c r="AC39" s="144" t="s">
        <v>132</v>
      </c>
      <c r="AD39" s="144" t="s">
        <v>132</v>
      </c>
      <c r="AE39" s="144" t="s">
        <v>132</v>
      </c>
      <c r="AF39" s="144" t="s">
        <v>132</v>
      </c>
      <c r="AG39" s="2013" t="s">
        <v>132</v>
      </c>
      <c r="AH39" s="3158">
        <v>3673</v>
      </c>
      <c r="AI39" s="2014">
        <v>3266</v>
      </c>
      <c r="AJ39" s="2015">
        <v>13771</v>
      </c>
      <c r="AK39" s="2015">
        <v>8047</v>
      </c>
      <c r="AL39" s="2015">
        <v>8046.7457751115626</v>
      </c>
      <c r="AM39" s="2015">
        <v>8046.7457751115626</v>
      </c>
      <c r="AN39" s="2016">
        <v>13877.15</v>
      </c>
      <c r="AO39" s="3165">
        <v>3673</v>
      </c>
      <c r="AP39" s="2014">
        <v>3266</v>
      </c>
      <c r="AQ39" s="2015">
        <v>13771</v>
      </c>
      <c r="AR39" s="2015">
        <v>8047</v>
      </c>
      <c r="AS39" s="2015">
        <v>8046.7457751115626</v>
      </c>
      <c r="AT39" s="2015">
        <v>8046.7457751115626</v>
      </c>
      <c r="AU39" s="2016">
        <v>13877.15</v>
      </c>
      <c r="AV39" s="2011"/>
      <c r="AW39" s="991" t="s">
        <v>132</v>
      </c>
      <c r="AX39" s="991" t="s">
        <v>132</v>
      </c>
      <c r="AY39" s="144" t="s">
        <v>132</v>
      </c>
      <c r="AZ39" s="144" t="s">
        <v>132</v>
      </c>
      <c r="BA39" s="144" t="s">
        <v>132</v>
      </c>
      <c r="BB39" s="144" t="s">
        <v>132</v>
      </c>
      <c r="BC39" s="2013" t="s">
        <v>132</v>
      </c>
      <c r="BD39" s="3158">
        <v>9135</v>
      </c>
      <c r="BE39" s="2014">
        <v>6304</v>
      </c>
      <c r="BF39" s="2015">
        <v>22262</v>
      </c>
      <c r="BG39" s="2015">
        <v>23597</v>
      </c>
      <c r="BH39" s="2015">
        <v>23597.371283985671</v>
      </c>
      <c r="BI39" s="2015">
        <v>23597.371283985671</v>
      </c>
      <c r="BJ39" s="2016">
        <v>43691.340599079347</v>
      </c>
      <c r="BK39" s="3165">
        <v>9135</v>
      </c>
      <c r="BL39" s="2014">
        <v>6304</v>
      </c>
      <c r="BM39" s="2015">
        <v>22262</v>
      </c>
      <c r="BN39" s="2015">
        <v>23597</v>
      </c>
      <c r="BO39" s="2015">
        <v>23597.371283985671</v>
      </c>
      <c r="BP39" s="2015">
        <v>23597.371283985671</v>
      </c>
      <c r="BQ39" s="2016">
        <v>43691.340599079347</v>
      </c>
      <c r="BR39" s="2011"/>
      <c r="BS39" s="3340" t="s">
        <v>132</v>
      </c>
      <c r="BT39" s="991" t="s">
        <v>132</v>
      </c>
      <c r="BU39" s="991" t="s">
        <v>132</v>
      </c>
      <c r="BV39" s="991" t="s">
        <v>132</v>
      </c>
      <c r="BW39" s="991" t="s">
        <v>132</v>
      </c>
      <c r="BX39" s="991" t="s">
        <v>132</v>
      </c>
      <c r="BY39" s="2017" t="s">
        <v>132</v>
      </c>
      <c r="BZ39" s="3341">
        <v>6545</v>
      </c>
      <c r="CA39" s="2014">
        <v>5241</v>
      </c>
      <c r="CB39" s="2015">
        <v>33128</v>
      </c>
      <c r="CC39" s="2015">
        <v>19361</v>
      </c>
      <c r="CD39" s="2015">
        <v>19361.005818999653</v>
      </c>
      <c r="CE39" s="2015">
        <v>19361.005818999653</v>
      </c>
      <c r="CF39" s="2016">
        <v>36989.15</v>
      </c>
      <c r="CG39" s="3341">
        <v>6545</v>
      </c>
      <c r="CH39" s="2014">
        <v>5241</v>
      </c>
      <c r="CI39" s="2015">
        <v>33128</v>
      </c>
      <c r="CJ39" s="2015">
        <v>19361</v>
      </c>
      <c r="CK39" s="2015">
        <v>19361.005818999653</v>
      </c>
      <c r="CL39" s="2015">
        <v>19361.005818999653</v>
      </c>
      <c r="CM39" s="2016">
        <v>36989.15</v>
      </c>
      <c r="CN39" s="991"/>
      <c r="CO39" s="144"/>
      <c r="CP39" s="144"/>
      <c r="CQ39" s="144"/>
      <c r="CR39" s="984"/>
      <c r="CS39" s="994"/>
      <c r="CT39" s="991"/>
      <c r="CU39" s="144"/>
      <c r="CV39" s="144"/>
      <c r="CW39" s="144"/>
      <c r="CX39" s="984"/>
      <c r="CY39" s="994"/>
      <c r="CZ39" s="991"/>
      <c r="DA39" s="144"/>
      <c r="DB39" s="144"/>
      <c r="DC39" s="144"/>
      <c r="DD39" s="984"/>
      <c r="DE39" s="1005"/>
    </row>
    <row r="40" spans="1:109">
      <c r="A40" s="1936"/>
      <c r="B40" s="3714"/>
      <c r="C40" s="3711"/>
      <c r="D40" s="2012" t="s">
        <v>543</v>
      </c>
      <c r="E40" s="991" t="s">
        <v>132</v>
      </c>
      <c r="F40" s="991" t="s">
        <v>132</v>
      </c>
      <c r="G40" s="991" t="s">
        <v>132</v>
      </c>
      <c r="H40" s="991" t="s">
        <v>132</v>
      </c>
      <c r="I40" s="991" t="s">
        <v>132</v>
      </c>
      <c r="J40" s="991" t="s">
        <v>132</v>
      </c>
      <c r="K40" s="2017" t="s">
        <v>132</v>
      </c>
      <c r="L40" s="3340">
        <v>568048</v>
      </c>
      <c r="M40" s="2014">
        <v>535911</v>
      </c>
      <c r="N40" s="2014">
        <v>416325</v>
      </c>
      <c r="O40" s="2014">
        <v>78818</v>
      </c>
      <c r="P40" s="2014">
        <v>71743.303988545464</v>
      </c>
      <c r="Q40" s="2014">
        <v>691799.28251710115</v>
      </c>
      <c r="R40" s="3360">
        <v>597658.90011093765</v>
      </c>
      <c r="S40" s="2014">
        <v>568048</v>
      </c>
      <c r="T40" s="2014">
        <v>535911</v>
      </c>
      <c r="U40" s="2014">
        <v>416325</v>
      </c>
      <c r="V40" s="2014">
        <v>78818</v>
      </c>
      <c r="W40" s="2014">
        <v>71743.303988545464</v>
      </c>
      <c r="X40" s="2014">
        <v>691799.28251710115</v>
      </c>
      <c r="Y40" s="2020">
        <v>597658.90011093765</v>
      </c>
      <c r="Z40" s="1947"/>
      <c r="AA40" s="991" t="s">
        <v>132</v>
      </c>
      <c r="AB40" s="991" t="s">
        <v>132</v>
      </c>
      <c r="AC40" s="991" t="s">
        <v>132</v>
      </c>
      <c r="AD40" s="991" t="s">
        <v>132</v>
      </c>
      <c r="AE40" s="991" t="s">
        <v>132</v>
      </c>
      <c r="AF40" s="991" t="s">
        <v>132</v>
      </c>
      <c r="AG40" s="2017" t="s">
        <v>132</v>
      </c>
      <c r="AH40" s="3159">
        <v>28972</v>
      </c>
      <c r="AI40" s="2014">
        <v>27218.192706278871</v>
      </c>
      <c r="AJ40" s="2014">
        <v>22309</v>
      </c>
      <c r="AK40" s="2014">
        <v>2812</v>
      </c>
      <c r="AL40" s="2014">
        <v>3643.4482254532254</v>
      </c>
      <c r="AM40" s="2014">
        <v>40849.26105864931</v>
      </c>
      <c r="AN40" s="2020">
        <v>37210.23522711984</v>
      </c>
      <c r="AO40" s="3166">
        <v>28972</v>
      </c>
      <c r="AP40" s="2014">
        <v>27218.192706278871</v>
      </c>
      <c r="AQ40" s="2014">
        <v>22309</v>
      </c>
      <c r="AR40" s="2014">
        <v>2812</v>
      </c>
      <c r="AS40" s="2014">
        <v>3643.4482254532254</v>
      </c>
      <c r="AT40" s="2014">
        <v>40849.26105864931</v>
      </c>
      <c r="AU40" s="2020">
        <v>37210.23522711984</v>
      </c>
      <c r="AV40" s="1947"/>
      <c r="AW40" s="991" t="s">
        <v>132</v>
      </c>
      <c r="AX40" s="991" t="s">
        <v>132</v>
      </c>
      <c r="AY40" s="991" t="s">
        <v>132</v>
      </c>
      <c r="AZ40" s="991" t="s">
        <v>132</v>
      </c>
      <c r="BA40" s="991" t="s">
        <v>132</v>
      </c>
      <c r="BB40" s="991" t="s">
        <v>132</v>
      </c>
      <c r="BC40" s="2017" t="s">
        <v>132</v>
      </c>
      <c r="BD40" s="3159">
        <v>253203</v>
      </c>
      <c r="BE40" s="2014">
        <v>236874.67645390393</v>
      </c>
      <c r="BF40" s="2014">
        <v>197808</v>
      </c>
      <c r="BG40" s="2014">
        <v>39731</v>
      </c>
      <c r="BH40" s="2014">
        <v>33838.373056330252</v>
      </c>
      <c r="BI40" s="2014">
        <v>345258.53829168854</v>
      </c>
      <c r="BJ40" s="2020">
        <v>294445.833063083</v>
      </c>
      <c r="BK40" s="3166">
        <v>253203</v>
      </c>
      <c r="BL40" s="2014">
        <v>236874.67645390393</v>
      </c>
      <c r="BM40" s="2014">
        <v>197808</v>
      </c>
      <c r="BN40" s="2014">
        <v>39731</v>
      </c>
      <c r="BO40" s="2014">
        <v>33838.373056330252</v>
      </c>
      <c r="BP40" s="2014">
        <v>345258.53829168854</v>
      </c>
      <c r="BQ40" s="2020">
        <v>294445.833063083</v>
      </c>
      <c r="BR40" s="1947"/>
      <c r="BS40" s="3340" t="s">
        <v>132</v>
      </c>
      <c r="BT40" s="991" t="s">
        <v>132</v>
      </c>
      <c r="BU40" s="991" t="s">
        <v>132</v>
      </c>
      <c r="BV40" s="991" t="s">
        <v>132</v>
      </c>
      <c r="BW40" s="991" t="s">
        <v>132</v>
      </c>
      <c r="BX40" s="991" t="s">
        <v>132</v>
      </c>
      <c r="BY40" s="2017" t="s">
        <v>132</v>
      </c>
      <c r="BZ40" s="3341">
        <v>285873</v>
      </c>
      <c r="CA40" s="2014">
        <v>271818</v>
      </c>
      <c r="CB40" s="2014">
        <v>196209</v>
      </c>
      <c r="CC40" s="2014">
        <v>36274</v>
      </c>
      <c r="CD40" s="2014">
        <v>34261.482706761999</v>
      </c>
      <c r="CE40" s="2014">
        <v>305691.4831667635</v>
      </c>
      <c r="CF40" s="2020">
        <v>266002.83182073489</v>
      </c>
      <c r="CG40" s="3341">
        <v>285873</v>
      </c>
      <c r="CH40" s="2014">
        <v>271818</v>
      </c>
      <c r="CI40" s="2014">
        <v>196209</v>
      </c>
      <c r="CJ40" s="2014">
        <v>36274</v>
      </c>
      <c r="CK40" s="2014">
        <v>34261.482706761999</v>
      </c>
      <c r="CL40" s="2014">
        <v>305691.4831667635</v>
      </c>
      <c r="CM40" s="2020">
        <v>266002.83182073489</v>
      </c>
      <c r="CN40" s="986"/>
      <c r="CO40" s="142"/>
      <c r="CP40" s="142"/>
      <c r="CQ40" s="142"/>
      <c r="CR40" s="984"/>
      <c r="CS40" s="994"/>
      <c r="CT40" s="986"/>
      <c r="CU40" s="142"/>
      <c r="CV40" s="142"/>
      <c r="CW40" s="142"/>
      <c r="CX40" s="984"/>
      <c r="CY40" s="994"/>
      <c r="CZ40" s="986"/>
      <c r="DA40" s="142"/>
      <c r="DB40" s="142"/>
      <c r="DC40" s="142"/>
      <c r="DD40" s="984"/>
      <c r="DE40" s="1005"/>
    </row>
    <row r="41" spans="1:109">
      <c r="A41" s="1936"/>
      <c r="B41" s="3714"/>
      <c r="C41" s="3711"/>
      <c r="D41" s="2012" t="s">
        <v>544</v>
      </c>
      <c r="E41" s="991" t="s">
        <v>132</v>
      </c>
      <c r="F41" s="991" t="s">
        <v>132</v>
      </c>
      <c r="G41" s="991" t="s">
        <v>132</v>
      </c>
      <c r="H41" s="991" t="s">
        <v>132</v>
      </c>
      <c r="I41" s="991" t="s">
        <v>132</v>
      </c>
      <c r="J41" s="991" t="s">
        <v>132</v>
      </c>
      <c r="K41" s="2017" t="s">
        <v>132</v>
      </c>
      <c r="L41" s="3340">
        <v>329102</v>
      </c>
      <c r="M41" s="2014">
        <v>302530</v>
      </c>
      <c r="N41" s="2014">
        <v>349292</v>
      </c>
      <c r="O41" s="2014">
        <v>218405</v>
      </c>
      <c r="P41" s="2014">
        <v>105291.67898905167</v>
      </c>
      <c r="Q41" s="2014">
        <v>105291.67898905167</v>
      </c>
      <c r="R41" s="3360">
        <v>411042.57975989534</v>
      </c>
      <c r="S41" s="2014">
        <v>329102</v>
      </c>
      <c r="T41" s="2014">
        <v>302530</v>
      </c>
      <c r="U41" s="2014">
        <v>349292</v>
      </c>
      <c r="V41" s="2014">
        <v>218405</v>
      </c>
      <c r="W41" s="2014">
        <v>105291.67898905167</v>
      </c>
      <c r="X41" s="2014">
        <v>105291.67898905167</v>
      </c>
      <c r="Y41" s="2020">
        <v>411042.57975989534</v>
      </c>
      <c r="Z41" s="2011"/>
      <c r="AA41" s="991" t="s">
        <v>132</v>
      </c>
      <c r="AB41" s="991" t="s">
        <v>132</v>
      </c>
      <c r="AC41" s="991" t="s">
        <v>132</v>
      </c>
      <c r="AD41" s="991" t="s">
        <v>132</v>
      </c>
      <c r="AE41" s="991" t="s">
        <v>132</v>
      </c>
      <c r="AF41" s="991" t="s">
        <v>132</v>
      </c>
      <c r="AG41" s="2017" t="s">
        <v>132</v>
      </c>
      <c r="AH41" s="3159">
        <v>40509</v>
      </c>
      <c r="AI41" s="2014">
        <v>39918</v>
      </c>
      <c r="AJ41" s="2014">
        <v>38315</v>
      </c>
      <c r="AK41" s="2014">
        <v>42379</v>
      </c>
      <c r="AL41" s="2014">
        <v>32470.627843473005</v>
      </c>
      <c r="AM41" s="2014">
        <v>32470.627843473005</v>
      </c>
      <c r="AN41" s="2020">
        <v>55571.061067356313</v>
      </c>
      <c r="AO41" s="3166">
        <v>40509</v>
      </c>
      <c r="AP41" s="2014">
        <v>39918</v>
      </c>
      <c r="AQ41" s="2014">
        <v>38315</v>
      </c>
      <c r="AR41" s="2014">
        <v>42379</v>
      </c>
      <c r="AS41" s="2014">
        <v>32470.627843473005</v>
      </c>
      <c r="AT41" s="2014">
        <v>32470.627843473005</v>
      </c>
      <c r="AU41" s="2020">
        <v>55571.061067356313</v>
      </c>
      <c r="AV41" s="2011"/>
      <c r="AW41" s="991" t="s">
        <v>132</v>
      </c>
      <c r="AX41" s="991" t="s">
        <v>132</v>
      </c>
      <c r="AY41" s="991" t="s">
        <v>132</v>
      </c>
      <c r="AZ41" s="991" t="s">
        <v>132</v>
      </c>
      <c r="BA41" s="991" t="s">
        <v>132</v>
      </c>
      <c r="BB41" s="991" t="s">
        <v>132</v>
      </c>
      <c r="BC41" s="2017" t="s">
        <v>132</v>
      </c>
      <c r="BD41" s="3159">
        <v>151788</v>
      </c>
      <c r="BE41" s="2014">
        <v>134254</v>
      </c>
      <c r="BF41" s="2014">
        <v>148958</v>
      </c>
      <c r="BG41" s="2014">
        <v>79850</v>
      </c>
      <c r="BH41" s="2014">
        <v>33727.534111344612</v>
      </c>
      <c r="BI41" s="2014">
        <v>33727.534111344612</v>
      </c>
      <c r="BJ41" s="2020">
        <v>178427.70089334156</v>
      </c>
      <c r="BK41" s="3166">
        <v>151788</v>
      </c>
      <c r="BL41" s="2014">
        <v>134254</v>
      </c>
      <c r="BM41" s="2014">
        <v>148958</v>
      </c>
      <c r="BN41" s="2014">
        <v>79850</v>
      </c>
      <c r="BO41" s="2014">
        <v>33727.534111344612</v>
      </c>
      <c r="BP41" s="2014">
        <v>33727.534111344612</v>
      </c>
      <c r="BQ41" s="2020">
        <v>178427.70089334156</v>
      </c>
      <c r="BR41" s="2011"/>
      <c r="BS41" s="3340" t="s">
        <v>132</v>
      </c>
      <c r="BT41" s="991" t="s">
        <v>132</v>
      </c>
      <c r="BU41" s="991" t="s">
        <v>132</v>
      </c>
      <c r="BV41" s="991" t="s">
        <v>132</v>
      </c>
      <c r="BW41" s="991" t="s">
        <v>132</v>
      </c>
      <c r="BX41" s="991" t="s">
        <v>132</v>
      </c>
      <c r="BY41" s="2017" t="s">
        <v>132</v>
      </c>
      <c r="BZ41" s="3341">
        <v>136806</v>
      </c>
      <c r="CA41" s="2014">
        <v>128359</v>
      </c>
      <c r="CB41" s="2014">
        <v>162020</v>
      </c>
      <c r="CC41" s="2014">
        <v>96176</v>
      </c>
      <c r="CD41" s="2014">
        <v>39093.51703423405</v>
      </c>
      <c r="CE41" s="2014">
        <v>39093.51703423405</v>
      </c>
      <c r="CF41" s="2020">
        <v>177043.81779919745</v>
      </c>
      <c r="CG41" s="3341">
        <v>136806</v>
      </c>
      <c r="CH41" s="2014">
        <v>128359</v>
      </c>
      <c r="CI41" s="2014">
        <v>162020</v>
      </c>
      <c r="CJ41" s="2014">
        <v>96176</v>
      </c>
      <c r="CK41" s="2014">
        <v>39093.51703423405</v>
      </c>
      <c r="CL41" s="2014">
        <v>39093.51703423405</v>
      </c>
      <c r="CM41" s="2020">
        <v>177043.81779919745</v>
      </c>
      <c r="CN41" s="991"/>
      <c r="CO41" s="144"/>
      <c r="CP41" s="144"/>
      <c r="CQ41" s="144"/>
      <c r="CR41" s="984"/>
      <c r="CS41" s="994"/>
      <c r="CT41" s="991"/>
      <c r="CU41" s="144"/>
      <c r="CV41" s="144"/>
      <c r="CW41" s="144"/>
      <c r="CX41" s="984"/>
      <c r="CY41" s="994"/>
      <c r="CZ41" s="991"/>
      <c r="DA41" s="144"/>
      <c r="DB41" s="144"/>
      <c r="DC41" s="144"/>
      <c r="DD41" s="984"/>
      <c r="DE41" s="1005"/>
    </row>
    <row r="42" spans="1:109" ht="14.45" thickBot="1">
      <c r="A42" s="1936"/>
      <c r="B42" s="3714"/>
      <c r="C42" s="3711"/>
      <c r="D42" s="2012" t="s">
        <v>545</v>
      </c>
      <c r="E42" s="991" t="s">
        <v>132</v>
      </c>
      <c r="F42" s="991" t="s">
        <v>132</v>
      </c>
      <c r="G42" s="991" t="s">
        <v>132</v>
      </c>
      <c r="H42" s="991" t="s">
        <v>132</v>
      </c>
      <c r="I42" s="991" t="s">
        <v>132</v>
      </c>
      <c r="J42" s="991" t="s">
        <v>132</v>
      </c>
      <c r="K42" s="2017" t="s">
        <v>132</v>
      </c>
      <c r="L42" s="3340">
        <v>152511</v>
      </c>
      <c r="M42" s="2014">
        <v>140157</v>
      </c>
      <c r="N42" s="2014">
        <v>159463</v>
      </c>
      <c r="O42" s="2014">
        <v>99221</v>
      </c>
      <c r="P42" s="2014">
        <v>47599.994218230015</v>
      </c>
      <c r="Q42" s="2014">
        <v>47599.994218230015</v>
      </c>
      <c r="R42" s="3360">
        <v>190262.95728502446</v>
      </c>
      <c r="S42" s="2014">
        <v>152511</v>
      </c>
      <c r="T42" s="2014">
        <v>140157</v>
      </c>
      <c r="U42" s="2014">
        <v>159463</v>
      </c>
      <c r="V42" s="2014">
        <v>99221</v>
      </c>
      <c r="W42" s="2014">
        <v>47599.994218230015</v>
      </c>
      <c r="X42" s="2014">
        <v>47599.994218230015</v>
      </c>
      <c r="Y42" s="2020">
        <v>190262.95728502446</v>
      </c>
      <c r="Z42" s="2011"/>
      <c r="AA42" s="991" t="s">
        <v>132</v>
      </c>
      <c r="AB42" s="991" t="s">
        <v>132</v>
      </c>
      <c r="AC42" s="991" t="s">
        <v>132</v>
      </c>
      <c r="AD42" s="991" t="s">
        <v>132</v>
      </c>
      <c r="AE42" s="991" t="s">
        <v>132</v>
      </c>
      <c r="AF42" s="991" t="s">
        <v>132</v>
      </c>
      <c r="AG42" s="2017" t="s">
        <v>132</v>
      </c>
      <c r="AH42" s="3159">
        <v>17003</v>
      </c>
      <c r="AI42" s="2014">
        <v>18077</v>
      </c>
      <c r="AJ42" s="2014">
        <v>16768</v>
      </c>
      <c r="AK42" s="2014">
        <v>18546</v>
      </c>
      <c r="AL42" s="2014">
        <v>14210.105581025258</v>
      </c>
      <c r="AM42" s="2014">
        <v>14210.105581025258</v>
      </c>
      <c r="AN42" s="2020">
        <v>24666.194288870389</v>
      </c>
      <c r="AO42" s="3166">
        <v>17003</v>
      </c>
      <c r="AP42" s="2014">
        <v>18077</v>
      </c>
      <c r="AQ42" s="2014">
        <v>16768</v>
      </c>
      <c r="AR42" s="2014">
        <v>18546</v>
      </c>
      <c r="AS42" s="2014">
        <v>14210.105581025258</v>
      </c>
      <c r="AT42" s="2014">
        <v>14210.105581025258</v>
      </c>
      <c r="AU42" s="2020">
        <v>24666.194288870389</v>
      </c>
      <c r="AV42" s="2011"/>
      <c r="AW42" s="991" t="s">
        <v>132</v>
      </c>
      <c r="AX42" s="991" t="s">
        <v>132</v>
      </c>
      <c r="AY42" s="991" t="s">
        <v>132</v>
      </c>
      <c r="AZ42" s="991" t="s">
        <v>132</v>
      </c>
      <c r="BA42" s="991" t="s">
        <v>132</v>
      </c>
      <c r="BB42" s="991" t="s">
        <v>132</v>
      </c>
      <c r="BC42" s="2017" t="s">
        <v>132</v>
      </c>
      <c r="BD42" s="3159">
        <v>73577</v>
      </c>
      <c r="BE42" s="2014">
        <v>63543</v>
      </c>
      <c r="BF42" s="2014">
        <v>70027</v>
      </c>
      <c r="BG42" s="2014">
        <v>37539</v>
      </c>
      <c r="BH42" s="2014">
        <v>15855.755483885801</v>
      </c>
      <c r="BI42" s="2014">
        <v>15855.755483885801</v>
      </c>
      <c r="BJ42" s="2020">
        <v>84031.171268384904</v>
      </c>
      <c r="BK42" s="3166">
        <v>73577</v>
      </c>
      <c r="BL42" s="2014">
        <v>63543</v>
      </c>
      <c r="BM42" s="2014">
        <v>70027</v>
      </c>
      <c r="BN42" s="2014">
        <v>37539</v>
      </c>
      <c r="BO42" s="2014">
        <v>15855.755483885801</v>
      </c>
      <c r="BP42" s="2014">
        <v>15855.755483885801</v>
      </c>
      <c r="BQ42" s="2020">
        <v>84031.171268384904</v>
      </c>
      <c r="BR42" s="2011"/>
      <c r="BS42" s="3340" t="s">
        <v>132</v>
      </c>
      <c r="BT42" s="991" t="s">
        <v>132</v>
      </c>
      <c r="BU42" s="991" t="s">
        <v>132</v>
      </c>
      <c r="BV42" s="991" t="s">
        <v>132</v>
      </c>
      <c r="BW42" s="991" t="s">
        <v>132</v>
      </c>
      <c r="BX42" s="991" t="s">
        <v>132</v>
      </c>
      <c r="BY42" s="2017" t="s">
        <v>132</v>
      </c>
      <c r="BZ42" s="3341">
        <v>61932</v>
      </c>
      <c r="CA42" s="2014">
        <v>58537</v>
      </c>
      <c r="CB42" s="2014">
        <v>72669</v>
      </c>
      <c r="CC42" s="2014">
        <v>43137</v>
      </c>
      <c r="CD42" s="2014">
        <v>17534.133153318955</v>
      </c>
      <c r="CE42" s="2014">
        <v>17534.133153318955</v>
      </c>
      <c r="CF42" s="2020">
        <v>81565.591727769177</v>
      </c>
      <c r="CG42" s="3341">
        <v>61932</v>
      </c>
      <c r="CH42" s="2014">
        <v>58537</v>
      </c>
      <c r="CI42" s="2014">
        <v>72669</v>
      </c>
      <c r="CJ42" s="2014">
        <v>43137</v>
      </c>
      <c r="CK42" s="2014">
        <v>17534.133153318955</v>
      </c>
      <c r="CL42" s="2014">
        <v>17534.133153318955</v>
      </c>
      <c r="CM42" s="2020">
        <v>81565.591727769177</v>
      </c>
      <c r="CN42" s="991"/>
      <c r="CO42" s="144"/>
      <c r="CP42" s="144"/>
      <c r="CQ42" s="144"/>
      <c r="CR42" s="984"/>
      <c r="CS42" s="994"/>
      <c r="CT42" s="991"/>
      <c r="CU42" s="144"/>
      <c r="CV42" s="144"/>
      <c r="CW42" s="144"/>
      <c r="CX42" s="984"/>
      <c r="CY42" s="994"/>
      <c r="CZ42" s="991"/>
      <c r="DA42" s="144"/>
      <c r="DB42" s="144"/>
      <c r="DC42" s="144"/>
      <c r="DD42" s="984"/>
      <c r="DE42" s="1005"/>
    </row>
    <row r="43" spans="1:109" s="685" customFormat="1" ht="27" thickBot="1">
      <c r="A43" s="2032"/>
      <c r="B43" s="3714"/>
      <c r="C43" s="3711"/>
      <c r="D43" s="3393" t="s">
        <v>546</v>
      </c>
      <c r="E43" s="3416" t="s">
        <v>132</v>
      </c>
      <c r="F43" s="684" t="s">
        <v>132</v>
      </c>
      <c r="G43" s="683" t="s">
        <v>132</v>
      </c>
      <c r="H43" s="684" t="s">
        <v>132</v>
      </c>
      <c r="I43" s="684" t="s">
        <v>132</v>
      </c>
      <c r="J43" s="684" t="s">
        <v>132</v>
      </c>
      <c r="K43" s="2033" t="s">
        <v>132</v>
      </c>
      <c r="L43" s="684">
        <v>5103446</v>
      </c>
      <c r="M43" s="684">
        <v>4741595</v>
      </c>
      <c r="N43" s="683">
        <v>4438177</v>
      </c>
      <c r="O43" s="684">
        <v>2639571</v>
      </c>
      <c r="P43" s="684">
        <v>1241752</v>
      </c>
      <c r="Q43" s="684">
        <v>4775968.2277335422</v>
      </c>
      <c r="R43" s="2033">
        <v>4915092.1196080819</v>
      </c>
      <c r="S43" s="684">
        <v>5103446</v>
      </c>
      <c r="T43" s="684">
        <v>4741595</v>
      </c>
      <c r="U43" s="683">
        <v>4438177</v>
      </c>
      <c r="V43" s="684">
        <v>2639571</v>
      </c>
      <c r="W43" s="684">
        <v>1241752</v>
      </c>
      <c r="X43" s="684">
        <v>4775968.2277335422</v>
      </c>
      <c r="Y43" s="2033">
        <v>4915092.1196080819</v>
      </c>
      <c r="Z43" s="2029"/>
      <c r="AA43" s="684"/>
      <c r="AB43" s="684"/>
      <c r="AC43" s="683" t="s">
        <v>132</v>
      </c>
      <c r="AD43" s="684" t="s">
        <v>132</v>
      </c>
      <c r="AE43" s="684" t="s">
        <v>132</v>
      </c>
      <c r="AF43" s="684" t="s">
        <v>132</v>
      </c>
      <c r="AG43" s="2033" t="s">
        <v>132</v>
      </c>
      <c r="AH43" s="2028">
        <v>607060</v>
      </c>
      <c r="AI43" s="684">
        <v>557041</v>
      </c>
      <c r="AJ43" s="683">
        <v>453466</v>
      </c>
      <c r="AK43" s="684">
        <v>412395</v>
      </c>
      <c r="AL43" s="684">
        <v>315979</v>
      </c>
      <c r="AM43" s="684">
        <v>525283.94430548314</v>
      </c>
      <c r="AN43" s="2033">
        <v>543624.7155086936</v>
      </c>
      <c r="AO43" s="3164">
        <v>607060</v>
      </c>
      <c r="AP43" s="684">
        <v>557041</v>
      </c>
      <c r="AQ43" s="683">
        <v>453466</v>
      </c>
      <c r="AR43" s="684">
        <v>412395</v>
      </c>
      <c r="AS43" s="684">
        <v>315979</v>
      </c>
      <c r="AT43" s="684">
        <v>525283.94430548314</v>
      </c>
      <c r="AU43" s="2033">
        <v>543624.7155086936</v>
      </c>
      <c r="AV43" s="2029"/>
      <c r="AW43" s="684" t="s">
        <v>132</v>
      </c>
      <c r="AX43" s="684" t="s">
        <v>132</v>
      </c>
      <c r="AY43" s="683" t="s">
        <v>132</v>
      </c>
      <c r="AZ43" s="684" t="s">
        <v>132</v>
      </c>
      <c r="BA43" s="684" t="s">
        <v>132</v>
      </c>
      <c r="BB43" s="684" t="s">
        <v>132</v>
      </c>
      <c r="BC43" s="2033" t="s">
        <v>132</v>
      </c>
      <c r="BD43" s="3171">
        <v>2605217</v>
      </c>
      <c r="BE43" s="683">
        <v>2412116</v>
      </c>
      <c r="BF43" s="683">
        <v>2401081</v>
      </c>
      <c r="BG43" s="684">
        <v>1287118</v>
      </c>
      <c r="BH43" s="684">
        <v>543661</v>
      </c>
      <c r="BI43" s="684">
        <v>2680710.5139290411</v>
      </c>
      <c r="BJ43" s="2033">
        <v>2755803.0524860714</v>
      </c>
      <c r="BK43" s="3164">
        <v>2605217</v>
      </c>
      <c r="BL43" s="684">
        <v>2412116</v>
      </c>
      <c r="BM43" s="683">
        <v>2401081</v>
      </c>
      <c r="BN43" s="684">
        <v>1287118</v>
      </c>
      <c r="BO43" s="684">
        <v>543661</v>
      </c>
      <c r="BP43" s="684">
        <v>2680710.5139290411</v>
      </c>
      <c r="BQ43" s="2033">
        <v>2755803.0524860714</v>
      </c>
      <c r="BR43" s="2029"/>
      <c r="BS43" s="684" t="s">
        <v>132</v>
      </c>
      <c r="BT43" s="684" t="s">
        <v>132</v>
      </c>
      <c r="BU43" s="683" t="s">
        <v>132</v>
      </c>
      <c r="BV43" s="684" t="s">
        <v>132</v>
      </c>
      <c r="BW43" s="684" t="s">
        <v>132</v>
      </c>
      <c r="BX43" s="684" t="s">
        <v>132</v>
      </c>
      <c r="BY43" s="2033" t="s">
        <v>132</v>
      </c>
      <c r="BZ43" s="683">
        <v>1891169</v>
      </c>
      <c r="CA43" s="683">
        <v>1772438</v>
      </c>
      <c r="CB43" s="683">
        <v>1583631</v>
      </c>
      <c r="CC43" s="684">
        <v>940058</v>
      </c>
      <c r="CD43" s="684">
        <v>382112</v>
      </c>
      <c r="CE43" s="684">
        <v>1569973.7694990181</v>
      </c>
      <c r="CF43" s="2033">
        <v>1615616.9722978161</v>
      </c>
      <c r="CG43" s="684">
        <v>1891169</v>
      </c>
      <c r="CH43" s="683">
        <v>1772438</v>
      </c>
      <c r="CI43" s="683">
        <v>1583631</v>
      </c>
      <c r="CJ43" s="684">
        <v>940058</v>
      </c>
      <c r="CK43" s="684">
        <v>382112</v>
      </c>
      <c r="CL43" s="684">
        <v>1569973.7694990181</v>
      </c>
      <c r="CM43" s="2033">
        <v>1615616.9722978161</v>
      </c>
      <c r="CN43" s="683"/>
      <c r="CO43" s="683"/>
      <c r="CP43" s="684"/>
      <c r="CQ43" s="684"/>
      <c r="CR43" s="999"/>
      <c r="CS43" s="1002"/>
      <c r="CT43" s="683"/>
      <c r="CU43" s="683"/>
      <c r="CV43" s="684"/>
      <c r="CW43" s="684"/>
      <c r="CX43" s="1001"/>
      <c r="CY43" s="1002"/>
      <c r="CZ43" s="683"/>
      <c r="DA43" s="683"/>
      <c r="DB43" s="684"/>
      <c r="DC43" s="684"/>
      <c r="DD43" s="1001"/>
      <c r="DE43" s="1006"/>
    </row>
    <row r="44" spans="1:109">
      <c r="A44" s="1936"/>
      <c r="B44" s="3714"/>
      <c r="C44" s="3711"/>
      <c r="D44" s="2101" t="s">
        <v>547</v>
      </c>
      <c r="E44" s="663" t="s">
        <v>132</v>
      </c>
      <c r="F44" s="663" t="s">
        <v>132</v>
      </c>
      <c r="G44" s="663" t="s">
        <v>132</v>
      </c>
      <c r="H44" s="663" t="s">
        <v>132</v>
      </c>
      <c r="I44" s="663" t="s">
        <v>132</v>
      </c>
      <c r="J44" s="663" t="s">
        <v>132</v>
      </c>
      <c r="K44" s="2022" t="s">
        <v>132</v>
      </c>
      <c r="L44" s="663" t="s">
        <v>498</v>
      </c>
      <c r="M44" s="663" t="s">
        <v>498</v>
      </c>
      <c r="N44" s="663">
        <v>343</v>
      </c>
      <c r="O44" s="663">
        <v>151</v>
      </c>
      <c r="P44" s="663">
        <v>78.951602044000268</v>
      </c>
      <c r="Q44" s="663" t="s">
        <v>132</v>
      </c>
      <c r="R44" s="3358" t="s">
        <v>132</v>
      </c>
      <c r="S44" s="663" t="s">
        <v>498</v>
      </c>
      <c r="T44" s="663" t="s">
        <v>498</v>
      </c>
      <c r="U44" s="663" t="s">
        <v>498</v>
      </c>
      <c r="V44" s="663" t="s">
        <v>498</v>
      </c>
      <c r="W44" s="663" t="s">
        <v>132</v>
      </c>
      <c r="X44" s="663" t="s">
        <v>132</v>
      </c>
      <c r="Y44" s="2022" t="s">
        <v>132</v>
      </c>
      <c r="Z44" s="2011"/>
      <c r="AA44" s="663" t="s">
        <v>132</v>
      </c>
      <c r="AB44" s="663" t="s">
        <v>132</v>
      </c>
      <c r="AC44" s="663" t="s">
        <v>132</v>
      </c>
      <c r="AD44" s="663" t="s">
        <v>132</v>
      </c>
      <c r="AE44" s="663" t="s">
        <v>132</v>
      </c>
      <c r="AF44" s="663" t="s">
        <v>132</v>
      </c>
      <c r="AG44" s="2022" t="s">
        <v>132</v>
      </c>
      <c r="AH44" s="3145" t="s">
        <v>132</v>
      </c>
      <c r="AI44" s="663" t="s">
        <v>132</v>
      </c>
      <c r="AJ44" s="663" t="s">
        <v>498</v>
      </c>
      <c r="AK44" s="663" t="s">
        <v>498</v>
      </c>
      <c r="AL44" s="663" t="s">
        <v>132</v>
      </c>
      <c r="AM44" s="663" t="s">
        <v>132</v>
      </c>
      <c r="AN44" s="2022" t="s">
        <v>132</v>
      </c>
      <c r="AO44" s="3145" t="s">
        <v>132</v>
      </c>
      <c r="AP44" s="663" t="s">
        <v>132</v>
      </c>
      <c r="AQ44" s="663" t="s">
        <v>498</v>
      </c>
      <c r="AR44" s="663" t="s">
        <v>498</v>
      </c>
      <c r="AS44" s="663" t="s">
        <v>132</v>
      </c>
      <c r="AT44" s="663" t="s">
        <v>132</v>
      </c>
      <c r="AU44" s="2022" t="s">
        <v>132</v>
      </c>
      <c r="AV44" s="2011"/>
      <c r="AW44" s="663" t="s">
        <v>132</v>
      </c>
      <c r="AX44" s="663" t="s">
        <v>132</v>
      </c>
      <c r="AY44" s="663" t="s">
        <v>132</v>
      </c>
      <c r="AZ44" s="663" t="s">
        <v>132</v>
      </c>
      <c r="BA44" s="663" t="s">
        <v>132</v>
      </c>
      <c r="BB44" s="663" t="s">
        <v>132</v>
      </c>
      <c r="BC44" s="2022" t="s">
        <v>132</v>
      </c>
      <c r="BD44" s="3145" t="s">
        <v>498</v>
      </c>
      <c r="BE44" s="663" t="s">
        <v>132</v>
      </c>
      <c r="BF44" s="663">
        <v>343</v>
      </c>
      <c r="BG44" s="663">
        <v>151</v>
      </c>
      <c r="BH44" s="663">
        <v>78.951602044000268</v>
      </c>
      <c r="BI44" s="663" t="s">
        <v>132</v>
      </c>
      <c r="BJ44" s="2022" t="s">
        <v>132</v>
      </c>
      <c r="BK44" s="3145" t="s">
        <v>498</v>
      </c>
      <c r="BL44" s="663" t="s">
        <v>132</v>
      </c>
      <c r="BM44" s="663" t="s">
        <v>498</v>
      </c>
      <c r="BN44" s="663" t="s">
        <v>498</v>
      </c>
      <c r="BO44" s="663" t="s">
        <v>132</v>
      </c>
      <c r="BP44" s="663" t="s">
        <v>132</v>
      </c>
      <c r="BQ44" s="2022" t="s">
        <v>132</v>
      </c>
      <c r="BR44" s="2011"/>
      <c r="BS44" s="663" t="s">
        <v>132</v>
      </c>
      <c r="BT44" s="991" t="s">
        <v>132</v>
      </c>
      <c r="BU44" s="991" t="s">
        <v>132</v>
      </c>
      <c r="BV44" s="991" t="s">
        <v>132</v>
      </c>
      <c r="BW44" s="991" t="s">
        <v>132</v>
      </c>
      <c r="BX44" s="991" t="s">
        <v>132</v>
      </c>
      <c r="BY44" s="2017" t="s">
        <v>132</v>
      </c>
      <c r="BZ44" s="663" t="s">
        <v>498</v>
      </c>
      <c r="CA44" s="663" t="s">
        <v>498</v>
      </c>
      <c r="CB44" s="663" t="s">
        <v>498</v>
      </c>
      <c r="CC44" s="663" t="s">
        <v>498</v>
      </c>
      <c r="CD44" s="663">
        <v>0</v>
      </c>
      <c r="CE44" s="663">
        <v>0</v>
      </c>
      <c r="CF44" s="2022" t="s">
        <v>132</v>
      </c>
      <c r="CG44" s="663" t="s">
        <v>498</v>
      </c>
      <c r="CH44" s="663" t="s">
        <v>498</v>
      </c>
      <c r="CI44" s="663" t="s">
        <v>498</v>
      </c>
      <c r="CJ44" s="663" t="s">
        <v>498</v>
      </c>
      <c r="CK44" s="663" t="s">
        <v>132</v>
      </c>
      <c r="CL44" s="663" t="s">
        <v>132</v>
      </c>
      <c r="CM44" s="2022" t="s">
        <v>132</v>
      </c>
      <c r="CN44" s="663"/>
      <c r="CO44" s="672"/>
      <c r="CP44" s="57"/>
      <c r="CQ44" s="57"/>
      <c r="CR44" s="984"/>
      <c r="CS44" s="994"/>
      <c r="CT44" s="663"/>
      <c r="CU44" s="672"/>
      <c r="CV44" s="57"/>
      <c r="CW44" s="57"/>
      <c r="CX44" s="984"/>
      <c r="CY44" s="994"/>
      <c r="CZ44" s="663"/>
      <c r="DA44" s="672"/>
      <c r="DB44" s="57"/>
      <c r="DC44" s="57"/>
      <c r="DD44" s="984"/>
      <c r="DE44" s="1005"/>
    </row>
    <row r="45" spans="1:109">
      <c r="A45" s="1936"/>
      <c r="B45" s="3714"/>
      <c r="C45" s="3711"/>
      <c r="D45" s="2012" t="s">
        <v>548</v>
      </c>
      <c r="E45" s="986" t="s">
        <v>132</v>
      </c>
      <c r="F45" s="986" t="s">
        <v>132</v>
      </c>
      <c r="G45" s="986" t="s">
        <v>132</v>
      </c>
      <c r="H45" s="986" t="s">
        <v>132</v>
      </c>
      <c r="I45" s="986" t="s">
        <v>132</v>
      </c>
      <c r="J45" s="986" t="s">
        <v>132</v>
      </c>
      <c r="K45" s="1949" t="s">
        <v>132</v>
      </c>
      <c r="L45" s="3342">
        <v>20402</v>
      </c>
      <c r="M45" s="2021">
        <v>21558</v>
      </c>
      <c r="N45" s="2021">
        <v>16913</v>
      </c>
      <c r="O45" s="2021">
        <v>9810</v>
      </c>
      <c r="P45" s="2021">
        <v>4738.7706000460212</v>
      </c>
      <c r="Q45" s="2021">
        <v>19636.715219720187</v>
      </c>
      <c r="R45" s="3359">
        <v>20704.456134735159</v>
      </c>
      <c r="S45" s="2021">
        <v>20402</v>
      </c>
      <c r="T45" s="2021">
        <v>21558</v>
      </c>
      <c r="U45" s="2021">
        <v>16913</v>
      </c>
      <c r="V45" s="2021">
        <v>9810</v>
      </c>
      <c r="W45" s="2021">
        <v>4738.7706000460212</v>
      </c>
      <c r="X45" s="2021">
        <v>19636.715219720187</v>
      </c>
      <c r="Y45" s="1954">
        <v>20515.615713351061</v>
      </c>
      <c r="Z45" s="1947"/>
      <c r="AA45" s="986" t="s">
        <v>132</v>
      </c>
      <c r="AB45" s="986" t="s">
        <v>132</v>
      </c>
      <c r="AC45" s="986" t="s">
        <v>132</v>
      </c>
      <c r="AD45" s="986" t="s">
        <v>132</v>
      </c>
      <c r="AE45" s="986" t="s">
        <v>132</v>
      </c>
      <c r="AF45" s="986" t="s">
        <v>132</v>
      </c>
      <c r="AG45" s="1949" t="s">
        <v>132</v>
      </c>
      <c r="AH45" s="3149">
        <v>3216</v>
      </c>
      <c r="AI45" s="2021">
        <v>3698.0464305340197</v>
      </c>
      <c r="AJ45" s="2021">
        <v>3145</v>
      </c>
      <c r="AK45" s="2021">
        <v>2165</v>
      </c>
      <c r="AL45" s="2021">
        <v>1577.3516493009058</v>
      </c>
      <c r="AM45" s="2021">
        <v>3611.3845240315763</v>
      </c>
      <c r="AN45" s="1954">
        <v>3176.68921014445</v>
      </c>
      <c r="AO45" s="3147">
        <v>3216</v>
      </c>
      <c r="AP45" s="2021">
        <v>3698.0464305340197</v>
      </c>
      <c r="AQ45" s="2021">
        <v>3145</v>
      </c>
      <c r="AR45" s="2021">
        <v>2165</v>
      </c>
      <c r="AS45" s="2021">
        <v>1577.3516493009058</v>
      </c>
      <c r="AT45" s="2021">
        <v>3611.3845240315763</v>
      </c>
      <c r="AU45" s="1954">
        <v>3176.68921014445</v>
      </c>
      <c r="AV45" s="1947"/>
      <c r="AW45" s="986" t="s">
        <v>132</v>
      </c>
      <c r="AX45" s="986" t="s">
        <v>132</v>
      </c>
      <c r="AY45" s="986" t="s">
        <v>132</v>
      </c>
      <c r="AZ45" s="986" t="s">
        <v>132</v>
      </c>
      <c r="BA45" s="986" t="s">
        <v>132</v>
      </c>
      <c r="BB45" s="986" t="s">
        <v>132</v>
      </c>
      <c r="BC45" s="1949" t="s">
        <v>132</v>
      </c>
      <c r="BD45" s="3149">
        <v>12729</v>
      </c>
      <c r="BE45" s="2021">
        <v>16402.404938643682</v>
      </c>
      <c r="BF45" s="2021">
        <v>9568</v>
      </c>
      <c r="BG45" s="2021">
        <v>4908</v>
      </c>
      <c r="BH45" s="2021">
        <v>2029.9071009860065</v>
      </c>
      <c r="BI45" s="2021">
        <v>11101.531689671277</v>
      </c>
      <c r="BJ45" s="1954">
        <v>11541.033075189951</v>
      </c>
      <c r="BK45" s="3147">
        <v>12729</v>
      </c>
      <c r="BL45" s="2021">
        <v>16402.404938643682</v>
      </c>
      <c r="BM45" s="2021">
        <v>9568</v>
      </c>
      <c r="BN45" s="2021">
        <v>4908</v>
      </c>
      <c r="BO45" s="2021">
        <v>2029.9071009860065</v>
      </c>
      <c r="BP45" s="2021">
        <v>11101.531689671277</v>
      </c>
      <c r="BQ45" s="1954">
        <v>11352.192653805851</v>
      </c>
      <c r="BR45" s="1947"/>
      <c r="BS45" s="3342" t="s">
        <v>132</v>
      </c>
      <c r="BT45" s="991" t="s">
        <v>132</v>
      </c>
      <c r="BU45" s="991" t="s">
        <v>132</v>
      </c>
      <c r="BV45" s="991" t="s">
        <v>132</v>
      </c>
      <c r="BW45" s="991" t="s">
        <v>132</v>
      </c>
      <c r="BX45" s="991" t="s">
        <v>132</v>
      </c>
      <c r="BY45" s="2017" t="s">
        <v>132</v>
      </c>
      <c r="BZ45" s="3343">
        <v>4458</v>
      </c>
      <c r="CA45" s="2021">
        <v>1458</v>
      </c>
      <c r="CB45" s="2021">
        <v>4201</v>
      </c>
      <c r="CC45" s="2021">
        <v>2738</v>
      </c>
      <c r="CD45" s="2021">
        <v>1131.5118497591079</v>
      </c>
      <c r="CE45" s="2021">
        <v>4923.7990060173315</v>
      </c>
      <c r="CF45" s="1954">
        <v>5986.7338494007572</v>
      </c>
      <c r="CG45" s="3343">
        <v>4458</v>
      </c>
      <c r="CH45" s="2021">
        <v>1458</v>
      </c>
      <c r="CI45" s="2021">
        <v>4201</v>
      </c>
      <c r="CJ45" s="2021">
        <v>2738</v>
      </c>
      <c r="CK45" s="2021">
        <v>1131.5118497591079</v>
      </c>
      <c r="CL45" s="2021">
        <v>4923.7990060173315</v>
      </c>
      <c r="CM45" s="1954">
        <v>5986.7338494007572</v>
      </c>
      <c r="CN45" s="986"/>
      <c r="CO45" s="142"/>
      <c r="CP45" s="142"/>
      <c r="CQ45" s="142"/>
      <c r="CR45" s="984"/>
      <c r="CS45" s="994"/>
      <c r="CT45" s="986"/>
      <c r="CU45" s="142"/>
      <c r="CV45" s="142"/>
      <c r="CW45" s="142"/>
      <c r="CX45" s="984"/>
      <c r="CY45" s="994"/>
      <c r="CZ45" s="986"/>
      <c r="DA45" s="142"/>
      <c r="DB45" s="142"/>
      <c r="DC45" s="142"/>
      <c r="DD45" s="984"/>
      <c r="DE45" s="1005"/>
    </row>
    <row r="46" spans="1:109" ht="14.45" customHeight="1">
      <c r="A46" s="1936"/>
      <c r="B46" s="3714"/>
      <c r="C46" s="3711"/>
      <c r="D46" s="3186" t="s">
        <v>549</v>
      </c>
      <c r="E46" s="991" t="s">
        <v>132</v>
      </c>
      <c r="F46" s="991" t="s">
        <v>132</v>
      </c>
      <c r="G46" s="991" t="s">
        <v>132</v>
      </c>
      <c r="H46" s="991" t="s">
        <v>132</v>
      </c>
      <c r="I46" s="991" t="s">
        <v>132</v>
      </c>
      <c r="J46" s="991" t="s">
        <v>132</v>
      </c>
      <c r="K46" s="2017" t="s">
        <v>132</v>
      </c>
      <c r="L46" s="3340">
        <v>280</v>
      </c>
      <c r="M46" s="2014">
        <v>136</v>
      </c>
      <c r="N46" s="2014" t="s">
        <v>132</v>
      </c>
      <c r="O46" s="2014" t="s">
        <v>132</v>
      </c>
      <c r="P46" s="2014" t="s">
        <v>132</v>
      </c>
      <c r="Q46" s="2014" t="s">
        <v>132</v>
      </c>
      <c r="R46" s="3360" t="s">
        <v>132</v>
      </c>
      <c r="S46" s="2014">
        <v>280</v>
      </c>
      <c r="T46" s="2014">
        <v>136</v>
      </c>
      <c r="U46" s="2014" t="s">
        <v>132</v>
      </c>
      <c r="V46" s="2014" t="s">
        <v>132</v>
      </c>
      <c r="W46" s="2014" t="s">
        <v>132</v>
      </c>
      <c r="X46" s="2014" t="s">
        <v>132</v>
      </c>
      <c r="Y46" s="2020" t="s">
        <v>132</v>
      </c>
      <c r="Z46" s="1947"/>
      <c r="AA46" s="991" t="s">
        <v>132</v>
      </c>
      <c r="AB46" s="991" t="s">
        <v>132</v>
      </c>
      <c r="AC46" s="991" t="s">
        <v>132</v>
      </c>
      <c r="AD46" s="991" t="s">
        <v>132</v>
      </c>
      <c r="AE46" s="991" t="s">
        <v>132</v>
      </c>
      <c r="AF46" s="991" t="s">
        <v>132</v>
      </c>
      <c r="AG46" s="2017" t="s">
        <v>132</v>
      </c>
      <c r="AH46" s="3159">
        <v>211</v>
      </c>
      <c r="AI46" s="2014">
        <v>52</v>
      </c>
      <c r="AJ46" s="2014"/>
      <c r="AK46" s="2014"/>
      <c r="AL46" s="2014">
        <v>206.87083333333331</v>
      </c>
      <c r="AM46" s="2014"/>
      <c r="AN46" s="2020"/>
      <c r="AO46" s="3166">
        <v>211</v>
      </c>
      <c r="AP46" s="2014">
        <v>52</v>
      </c>
      <c r="AQ46" s="2014"/>
      <c r="AR46" s="2014"/>
      <c r="AS46" s="2014">
        <v>206.87083333333331</v>
      </c>
      <c r="AT46" s="2014"/>
      <c r="AU46" s="2020"/>
      <c r="AV46" s="1947"/>
      <c r="AW46" s="991" t="s">
        <v>132</v>
      </c>
      <c r="AX46" s="991" t="s">
        <v>132</v>
      </c>
      <c r="AY46" s="991" t="s">
        <v>132</v>
      </c>
      <c r="AZ46" s="991" t="s">
        <v>132</v>
      </c>
      <c r="BA46" s="991" t="s">
        <v>132</v>
      </c>
      <c r="BB46" s="991" t="s">
        <v>132</v>
      </c>
      <c r="BC46" s="2017" t="s">
        <v>132</v>
      </c>
      <c r="BD46" s="3159">
        <v>25</v>
      </c>
      <c r="BE46" s="2014">
        <v>35</v>
      </c>
      <c r="BF46" s="2014" t="s">
        <v>132</v>
      </c>
      <c r="BG46" s="2014" t="s">
        <v>132</v>
      </c>
      <c r="BH46" s="2014">
        <v>22.6005</v>
      </c>
      <c r="BI46" s="2014" t="s">
        <v>132</v>
      </c>
      <c r="BJ46" s="2020" t="s">
        <v>132</v>
      </c>
      <c r="BK46" s="3166">
        <v>25</v>
      </c>
      <c r="BL46" s="2014">
        <v>35</v>
      </c>
      <c r="BM46" s="2014" t="s">
        <v>132</v>
      </c>
      <c r="BN46" s="2014" t="s">
        <v>132</v>
      </c>
      <c r="BO46" s="2014">
        <v>22.6005</v>
      </c>
      <c r="BP46" s="2014" t="s">
        <v>132</v>
      </c>
      <c r="BQ46" s="2020" t="s">
        <v>132</v>
      </c>
      <c r="BR46" s="1947"/>
      <c r="BS46" s="3340" t="s">
        <v>132</v>
      </c>
      <c r="BT46" s="991" t="s">
        <v>132</v>
      </c>
      <c r="BU46" s="991" t="s">
        <v>132</v>
      </c>
      <c r="BV46" s="991" t="s">
        <v>132</v>
      </c>
      <c r="BW46" s="991" t="s">
        <v>132</v>
      </c>
      <c r="BX46" s="991" t="s">
        <v>132</v>
      </c>
      <c r="BY46" s="2017" t="s">
        <v>132</v>
      </c>
      <c r="BZ46" s="3343">
        <v>43</v>
      </c>
      <c r="CA46" s="2014">
        <v>49</v>
      </c>
      <c r="CB46" s="2014" t="s">
        <v>132</v>
      </c>
      <c r="CC46" s="2014" t="s">
        <v>132</v>
      </c>
      <c r="CD46" s="2014">
        <v>44.4375</v>
      </c>
      <c r="CE46" s="2014" t="s">
        <v>132</v>
      </c>
      <c r="CF46" s="2020" t="s">
        <v>132</v>
      </c>
      <c r="CG46" s="3341">
        <v>43</v>
      </c>
      <c r="CH46" s="2014">
        <v>49</v>
      </c>
      <c r="CI46" s="2014" t="s">
        <v>195</v>
      </c>
      <c r="CJ46" s="2014" t="s">
        <v>132</v>
      </c>
      <c r="CK46" s="2014">
        <v>44.4375</v>
      </c>
      <c r="CL46" s="2014" t="s">
        <v>132</v>
      </c>
      <c r="CM46" s="2020" t="s">
        <v>132</v>
      </c>
      <c r="CN46" s="2023"/>
      <c r="CO46" s="1279"/>
      <c r="CP46" s="1278"/>
      <c r="CQ46" s="1279"/>
      <c r="CR46" s="1001"/>
      <c r="CS46" s="1002"/>
      <c r="CT46" s="1278"/>
      <c r="CU46" s="1278"/>
      <c r="CV46" s="1278"/>
      <c r="CW46" s="1279"/>
      <c r="CX46" s="1001"/>
      <c r="CY46" s="1002"/>
      <c r="CZ46" s="1278"/>
      <c r="DA46" s="1278"/>
      <c r="DB46" s="1278"/>
      <c r="DC46" s="1279"/>
      <c r="DD46" s="1001"/>
      <c r="DE46" s="1006"/>
    </row>
    <row r="47" spans="1:109">
      <c r="A47" s="1936"/>
      <c r="B47" s="3714"/>
      <c r="C47" s="3711"/>
      <c r="D47" s="2012" t="s">
        <v>550</v>
      </c>
      <c r="E47" s="986" t="s">
        <v>132</v>
      </c>
      <c r="F47" s="986" t="s">
        <v>132</v>
      </c>
      <c r="G47" s="986" t="s">
        <v>132</v>
      </c>
      <c r="H47" s="986" t="s">
        <v>132</v>
      </c>
      <c r="I47" s="986" t="s">
        <v>132</v>
      </c>
      <c r="J47" s="986" t="s">
        <v>132</v>
      </c>
      <c r="K47" s="1949" t="s">
        <v>132</v>
      </c>
      <c r="L47" s="3342">
        <v>5514</v>
      </c>
      <c r="M47" s="2021">
        <v>5325</v>
      </c>
      <c r="N47" s="2021">
        <v>8805</v>
      </c>
      <c r="O47" s="2021">
        <v>4679</v>
      </c>
      <c r="P47" s="2021">
        <v>3597.8693803934261</v>
      </c>
      <c r="Q47" s="2021">
        <v>90625.842210443065</v>
      </c>
      <c r="R47" s="3359">
        <v>23323.413277737658</v>
      </c>
      <c r="S47" s="2021">
        <v>5514</v>
      </c>
      <c r="T47" s="2021">
        <v>5325</v>
      </c>
      <c r="U47" s="2021">
        <v>8805</v>
      </c>
      <c r="V47" s="2021">
        <v>4679</v>
      </c>
      <c r="W47" s="2021">
        <v>3597.8693803934261</v>
      </c>
      <c r="X47" s="2021">
        <v>90625.842210443065</v>
      </c>
      <c r="Y47" s="1954">
        <v>23323.413277737658</v>
      </c>
      <c r="Z47" s="1947"/>
      <c r="AA47" s="986" t="s">
        <v>132</v>
      </c>
      <c r="AB47" s="986" t="s">
        <v>132</v>
      </c>
      <c r="AC47" s="986" t="s">
        <v>132</v>
      </c>
      <c r="AD47" s="986" t="s">
        <v>132</v>
      </c>
      <c r="AE47" s="986" t="s">
        <v>132</v>
      </c>
      <c r="AF47" s="986" t="s">
        <v>132</v>
      </c>
      <c r="AG47" s="1949" t="s">
        <v>132</v>
      </c>
      <c r="AH47" s="3149">
        <v>1768</v>
      </c>
      <c r="AI47" s="2021">
        <v>1605.7398473221908</v>
      </c>
      <c r="AJ47" s="2021">
        <v>1237</v>
      </c>
      <c r="AK47" s="2021">
        <v>1145</v>
      </c>
      <c r="AL47" s="2021">
        <v>275.05637797454824</v>
      </c>
      <c r="AM47" s="2021">
        <v>6677.4370909879226</v>
      </c>
      <c r="AN47" s="1954">
        <v>1733.9572817854671</v>
      </c>
      <c r="AO47" s="3147">
        <v>1768</v>
      </c>
      <c r="AP47" s="2021">
        <v>1605.7398473221908</v>
      </c>
      <c r="AQ47" s="2021">
        <v>1237</v>
      </c>
      <c r="AR47" s="2021">
        <v>1145</v>
      </c>
      <c r="AS47" s="2021">
        <v>275.05637797454824</v>
      </c>
      <c r="AT47" s="2021">
        <v>6677.4370909879226</v>
      </c>
      <c r="AU47" s="1954">
        <v>1733.9572817854671</v>
      </c>
      <c r="AV47" s="1947"/>
      <c r="AW47" s="986" t="s">
        <v>132</v>
      </c>
      <c r="AX47" s="986" t="s">
        <v>132</v>
      </c>
      <c r="AY47" s="986" t="s">
        <v>132</v>
      </c>
      <c r="AZ47" s="986" t="s">
        <v>132</v>
      </c>
      <c r="BA47" s="986" t="s">
        <v>132</v>
      </c>
      <c r="BB47" s="986" t="s">
        <v>132</v>
      </c>
      <c r="BC47" s="1949" t="s">
        <v>132</v>
      </c>
      <c r="BD47" s="3149">
        <v>1756</v>
      </c>
      <c r="BE47" s="2021">
        <v>2266.9766762877762</v>
      </c>
      <c r="BF47" s="2021">
        <v>4659</v>
      </c>
      <c r="BG47" s="2021">
        <v>2038</v>
      </c>
      <c r="BH47" s="2021">
        <v>2132.0536330627783</v>
      </c>
      <c r="BI47" s="2021">
        <v>64101.216481158248</v>
      </c>
      <c r="BJ47" s="1954">
        <v>16366.160820259051</v>
      </c>
      <c r="BK47" s="3147">
        <v>1756</v>
      </c>
      <c r="BL47" s="2021">
        <v>2266.9766762877762</v>
      </c>
      <c r="BM47" s="2021">
        <v>4659</v>
      </c>
      <c r="BN47" s="2021">
        <v>2038</v>
      </c>
      <c r="BO47" s="2021">
        <v>2132.0536330627783</v>
      </c>
      <c r="BP47" s="2021">
        <v>64101.216481158248</v>
      </c>
      <c r="BQ47" s="1954">
        <v>16366.160820259051</v>
      </c>
      <c r="BR47" s="1947"/>
      <c r="BS47" s="3342" t="s">
        <v>132</v>
      </c>
      <c r="BT47" s="991" t="s">
        <v>132</v>
      </c>
      <c r="BU47" s="991" t="s">
        <v>132</v>
      </c>
      <c r="BV47" s="991" t="s">
        <v>132</v>
      </c>
      <c r="BW47" s="991" t="s">
        <v>132</v>
      </c>
      <c r="BX47" s="991" t="s">
        <v>132</v>
      </c>
      <c r="BY47" s="2017" t="s">
        <v>132</v>
      </c>
      <c r="BZ47" s="3343">
        <v>1990</v>
      </c>
      <c r="CA47" s="2021">
        <v>1452</v>
      </c>
      <c r="CB47" s="2021">
        <v>2909</v>
      </c>
      <c r="CC47" s="2021">
        <v>1496</v>
      </c>
      <c r="CD47" s="2021">
        <v>1190.7593693561</v>
      </c>
      <c r="CE47" s="2021">
        <v>19847.18863829691</v>
      </c>
      <c r="CF47" s="1954">
        <v>5223.2951756931507</v>
      </c>
      <c r="CG47" s="3343">
        <v>1990</v>
      </c>
      <c r="CH47" s="2021">
        <v>1452</v>
      </c>
      <c r="CI47" s="2021">
        <v>2909</v>
      </c>
      <c r="CJ47" s="2021">
        <v>1496</v>
      </c>
      <c r="CK47" s="2021">
        <v>1190.7593693561</v>
      </c>
      <c r="CL47" s="2021">
        <v>19847.18863829691</v>
      </c>
      <c r="CM47" s="1954">
        <v>5223.2951756931507</v>
      </c>
      <c r="CN47" s="986"/>
      <c r="CO47" s="142"/>
      <c r="CP47" s="142"/>
      <c r="CQ47" s="142"/>
      <c r="CR47" s="984"/>
      <c r="CS47" s="994"/>
      <c r="CT47" s="986"/>
      <c r="CU47" s="142"/>
      <c r="CV47" s="142"/>
      <c r="CW47" s="142"/>
      <c r="CX47" s="984"/>
      <c r="CY47" s="994"/>
      <c r="CZ47" s="986"/>
      <c r="DA47" s="142"/>
      <c r="DB47" s="142"/>
      <c r="DC47" s="142"/>
      <c r="DD47" s="984"/>
      <c r="DE47" s="1005"/>
    </row>
    <row r="48" spans="1:109">
      <c r="A48" s="1936"/>
      <c r="B48" s="3714"/>
      <c r="C48" s="3711"/>
      <c r="D48" s="2012" t="s">
        <v>551</v>
      </c>
      <c r="E48" s="991" t="s">
        <v>132</v>
      </c>
      <c r="F48" s="991" t="s">
        <v>132</v>
      </c>
      <c r="G48" s="991" t="s">
        <v>132</v>
      </c>
      <c r="H48" s="991" t="s">
        <v>132</v>
      </c>
      <c r="I48" s="991" t="s">
        <v>132</v>
      </c>
      <c r="J48" s="991" t="s">
        <v>132</v>
      </c>
      <c r="K48" s="2017" t="s">
        <v>132</v>
      </c>
      <c r="L48" s="3340">
        <v>4378</v>
      </c>
      <c r="M48" s="2014">
        <v>2472</v>
      </c>
      <c r="N48" s="2014">
        <v>2800</v>
      </c>
      <c r="O48" s="2014">
        <v>1406</v>
      </c>
      <c r="P48" s="2014">
        <v>936.21872399999995</v>
      </c>
      <c r="Q48" s="2014">
        <v>689.9</v>
      </c>
      <c r="R48" s="3360"/>
      <c r="S48" s="2014">
        <v>4378</v>
      </c>
      <c r="T48" s="2014">
        <v>2472</v>
      </c>
      <c r="U48" s="2014">
        <v>2799.7260000000001</v>
      </c>
      <c r="V48" s="2014">
        <v>1405.864</v>
      </c>
      <c r="W48" s="2014">
        <v>936.21872399999995</v>
      </c>
      <c r="X48" s="2014">
        <v>689.9</v>
      </c>
      <c r="Y48" s="2020"/>
      <c r="Z48" s="1947"/>
      <c r="AA48" s="991" t="s">
        <v>132</v>
      </c>
      <c r="AB48" s="991" t="s">
        <v>132</v>
      </c>
      <c r="AC48" s="991" t="s">
        <v>132</v>
      </c>
      <c r="AD48" s="991" t="s">
        <v>132</v>
      </c>
      <c r="AE48" s="991" t="s">
        <v>132</v>
      </c>
      <c r="AF48" s="991" t="s">
        <v>132</v>
      </c>
      <c r="AG48" s="2017" t="s">
        <v>132</v>
      </c>
      <c r="AH48" s="3159">
        <v>447</v>
      </c>
      <c r="AI48" s="2014">
        <v>283.99397600000009</v>
      </c>
      <c r="AJ48" s="2014">
        <v>136</v>
      </c>
      <c r="AK48" s="2014">
        <v>76</v>
      </c>
      <c r="AL48" s="2014">
        <v>242.172</v>
      </c>
      <c r="AM48" s="2014">
        <v>86.8</v>
      </c>
      <c r="AN48" s="2020"/>
      <c r="AO48" s="3166">
        <v>447</v>
      </c>
      <c r="AP48" s="2014">
        <v>283.99397600000009</v>
      </c>
      <c r="AQ48" s="2014">
        <v>136</v>
      </c>
      <c r="AR48" s="2014">
        <v>76</v>
      </c>
      <c r="AS48" s="2014">
        <v>242.172</v>
      </c>
      <c r="AT48" s="2014">
        <v>86.8</v>
      </c>
      <c r="AU48" s="2020"/>
      <c r="AV48" s="1947"/>
      <c r="AW48" s="991" t="s">
        <v>132</v>
      </c>
      <c r="AX48" s="991" t="s">
        <v>132</v>
      </c>
      <c r="AY48" s="991" t="s">
        <v>132</v>
      </c>
      <c r="AZ48" s="991" t="s">
        <v>132</v>
      </c>
      <c r="BA48" s="991" t="s">
        <v>132</v>
      </c>
      <c r="BB48" s="991" t="s">
        <v>132</v>
      </c>
      <c r="BC48" s="2017" t="s">
        <v>132</v>
      </c>
      <c r="BD48" s="3159">
        <v>2489</v>
      </c>
      <c r="BE48" s="2014">
        <v>1312.838716</v>
      </c>
      <c r="BF48" s="2014">
        <v>1379</v>
      </c>
      <c r="BG48" s="2014">
        <v>612</v>
      </c>
      <c r="BH48" s="2014">
        <v>343.03359999999998</v>
      </c>
      <c r="BI48" s="2014">
        <v>487.5</v>
      </c>
      <c r="BJ48" s="2020" t="s">
        <v>132</v>
      </c>
      <c r="BK48" s="3166">
        <v>2489</v>
      </c>
      <c r="BL48" s="2014">
        <v>1312.838716</v>
      </c>
      <c r="BM48" s="2014">
        <v>1379.13</v>
      </c>
      <c r="BN48" s="2014">
        <v>612.452</v>
      </c>
      <c r="BO48" s="2014">
        <v>343.03359999999998</v>
      </c>
      <c r="BP48" s="2014">
        <v>487.5</v>
      </c>
      <c r="BQ48" s="2020" t="s">
        <v>132</v>
      </c>
      <c r="BR48" s="1947"/>
      <c r="BS48" s="3340" t="s">
        <v>132</v>
      </c>
      <c r="BT48" s="991" t="s">
        <v>132</v>
      </c>
      <c r="BU48" s="991" t="s">
        <v>132</v>
      </c>
      <c r="BV48" s="991" t="s">
        <v>132</v>
      </c>
      <c r="BW48" s="991" t="s">
        <v>132</v>
      </c>
      <c r="BX48" s="991" t="s">
        <v>132</v>
      </c>
      <c r="BY48" s="2017" t="s">
        <v>132</v>
      </c>
      <c r="BZ48" s="3341">
        <v>1442</v>
      </c>
      <c r="CA48" s="2014">
        <v>876</v>
      </c>
      <c r="CB48" s="2014">
        <v>1284</v>
      </c>
      <c r="CC48" s="2014">
        <v>718</v>
      </c>
      <c r="CD48" s="2014">
        <v>351.013124</v>
      </c>
      <c r="CE48" s="2014">
        <v>115.6</v>
      </c>
      <c r="CF48" s="2020" t="s">
        <v>132</v>
      </c>
      <c r="CG48" s="3341">
        <v>1442</v>
      </c>
      <c r="CH48" s="2014">
        <v>876</v>
      </c>
      <c r="CI48" s="2014">
        <v>1284.32</v>
      </c>
      <c r="CJ48" s="2014">
        <v>717.9</v>
      </c>
      <c r="CK48" s="2014">
        <v>351.013124</v>
      </c>
      <c r="CL48" s="2014">
        <v>115.6</v>
      </c>
      <c r="CM48" s="2020" t="s">
        <v>132</v>
      </c>
      <c r="CN48" s="2023"/>
      <c r="CO48" s="1279"/>
      <c r="CP48" s="1278"/>
      <c r="CQ48" s="1279"/>
      <c r="CR48" s="1001"/>
      <c r="CS48" s="1002"/>
      <c r="CT48" s="1278"/>
      <c r="CU48" s="1278"/>
      <c r="CV48" s="1278"/>
      <c r="CW48" s="1279"/>
      <c r="CX48" s="1001"/>
      <c r="CY48" s="1002"/>
      <c r="CZ48" s="1278"/>
      <c r="DA48" s="1278"/>
      <c r="DB48" s="1278"/>
      <c r="DC48" s="1279"/>
      <c r="DD48" s="1001"/>
      <c r="DE48" s="1006"/>
    </row>
    <row r="49" spans="1:110" ht="15" customHeight="1">
      <c r="A49" s="1936"/>
      <c r="B49" s="3714"/>
      <c r="C49" s="3711"/>
      <c r="D49" s="2101" t="s">
        <v>552</v>
      </c>
      <c r="E49" s="991" t="s">
        <v>132</v>
      </c>
      <c r="F49" s="991" t="s">
        <v>132</v>
      </c>
      <c r="G49" s="991" t="s">
        <v>132</v>
      </c>
      <c r="H49" s="991" t="s">
        <v>132</v>
      </c>
      <c r="I49" s="991" t="s">
        <v>132</v>
      </c>
      <c r="J49" s="991" t="s">
        <v>132</v>
      </c>
      <c r="K49" s="2017" t="s">
        <v>132</v>
      </c>
      <c r="L49" s="3340">
        <v>6446</v>
      </c>
      <c r="M49" s="2014">
        <v>6055</v>
      </c>
      <c r="N49" s="2014" t="s">
        <v>132</v>
      </c>
      <c r="O49" s="2014" t="s">
        <v>132</v>
      </c>
      <c r="P49" s="2014" t="s">
        <v>132</v>
      </c>
      <c r="Q49" s="2014" t="s">
        <v>132</v>
      </c>
      <c r="R49" s="3360" t="s">
        <v>132</v>
      </c>
      <c r="S49" s="2014">
        <v>6446</v>
      </c>
      <c r="T49" s="2014">
        <v>6055</v>
      </c>
      <c r="U49" s="2014" t="s">
        <v>132</v>
      </c>
      <c r="V49" s="2014" t="s">
        <v>132</v>
      </c>
      <c r="W49" s="2014" t="s">
        <v>132</v>
      </c>
      <c r="X49" s="2014" t="s">
        <v>132</v>
      </c>
      <c r="Y49" s="2016" t="s">
        <v>132</v>
      </c>
      <c r="Z49" s="1947"/>
      <c r="AA49" s="991" t="s">
        <v>132</v>
      </c>
      <c r="AB49" s="991" t="s">
        <v>132</v>
      </c>
      <c r="AC49" s="991" t="s">
        <v>132</v>
      </c>
      <c r="AD49" s="991" t="s">
        <v>132</v>
      </c>
      <c r="AE49" s="991" t="s">
        <v>132</v>
      </c>
      <c r="AF49" s="991" t="s">
        <v>132</v>
      </c>
      <c r="AG49" s="2013" t="s">
        <v>132</v>
      </c>
      <c r="AH49" s="3158" t="s">
        <v>498</v>
      </c>
      <c r="AI49" s="2014" t="s">
        <v>132</v>
      </c>
      <c r="AJ49" s="2014"/>
      <c r="AK49" s="2014"/>
      <c r="AL49" s="2014"/>
      <c r="AM49" s="2014"/>
      <c r="AN49" s="2016"/>
      <c r="AO49" s="3165" t="s">
        <v>498</v>
      </c>
      <c r="AP49" s="2014" t="s">
        <v>132</v>
      </c>
      <c r="AQ49" s="2014"/>
      <c r="AR49" s="2014"/>
      <c r="AS49" s="2014"/>
      <c r="AT49" s="2014"/>
      <c r="AU49" s="2020"/>
      <c r="AV49" s="1947"/>
      <c r="AW49" s="991" t="s">
        <v>132</v>
      </c>
      <c r="AX49" s="991" t="s">
        <v>132</v>
      </c>
      <c r="AY49" s="991" t="s">
        <v>132</v>
      </c>
      <c r="AZ49" s="991" t="s">
        <v>132</v>
      </c>
      <c r="BA49" s="991" t="s">
        <v>132</v>
      </c>
      <c r="BB49" s="991" t="s">
        <v>132</v>
      </c>
      <c r="BC49" s="2017" t="s">
        <v>132</v>
      </c>
      <c r="BD49" s="3158">
        <v>1382</v>
      </c>
      <c r="BE49" s="2014">
        <v>1081</v>
      </c>
      <c r="BF49" s="2014" t="s">
        <v>132</v>
      </c>
      <c r="BG49" s="2014" t="s">
        <v>132</v>
      </c>
      <c r="BH49" s="2014" t="s">
        <v>132</v>
      </c>
      <c r="BI49" s="2014" t="s">
        <v>132</v>
      </c>
      <c r="BJ49" s="2020" t="s">
        <v>132</v>
      </c>
      <c r="BK49" s="3166">
        <v>1382</v>
      </c>
      <c r="BL49" s="2014">
        <v>1081</v>
      </c>
      <c r="BM49" s="2014" t="s">
        <v>498</v>
      </c>
      <c r="BN49" s="2014" t="s">
        <v>498</v>
      </c>
      <c r="BO49" s="2014" t="s">
        <v>498</v>
      </c>
      <c r="BP49" s="2014" t="s">
        <v>498</v>
      </c>
      <c r="BQ49" s="2016" t="s">
        <v>132</v>
      </c>
      <c r="BR49" s="1947"/>
      <c r="BS49" s="3340" t="s">
        <v>132</v>
      </c>
      <c r="BT49" s="991" t="s">
        <v>132</v>
      </c>
      <c r="BU49" s="991" t="s">
        <v>132</v>
      </c>
      <c r="BV49" s="991" t="s">
        <v>132</v>
      </c>
      <c r="BW49" s="991" t="s">
        <v>132</v>
      </c>
      <c r="BX49" s="991" t="s">
        <v>132</v>
      </c>
      <c r="BY49" s="2013" t="s">
        <v>132</v>
      </c>
      <c r="BZ49" s="2014">
        <v>5064</v>
      </c>
      <c r="CA49" s="2014">
        <v>4974</v>
      </c>
      <c r="CB49" s="2014" t="s">
        <v>132</v>
      </c>
      <c r="CC49" s="2014" t="s">
        <v>132</v>
      </c>
      <c r="CD49" s="2014" t="s">
        <v>132</v>
      </c>
      <c r="CE49" s="2014" t="s">
        <v>132</v>
      </c>
      <c r="CF49" s="2020" t="s">
        <v>132</v>
      </c>
      <c r="CG49" s="2014">
        <v>5064</v>
      </c>
      <c r="CH49" s="2014">
        <v>4974</v>
      </c>
      <c r="CI49" s="2014" t="s">
        <v>132</v>
      </c>
      <c r="CJ49" s="2014" t="s">
        <v>132</v>
      </c>
      <c r="CK49" s="2014" t="s">
        <v>132</v>
      </c>
      <c r="CL49" s="2014" t="s">
        <v>132</v>
      </c>
      <c r="CM49" s="2020" t="s">
        <v>132</v>
      </c>
      <c r="CN49" s="2023"/>
      <c r="CO49" s="1279"/>
      <c r="CP49" s="1278"/>
      <c r="CQ49" s="1279"/>
      <c r="CR49" s="1001"/>
      <c r="CS49" s="1002"/>
      <c r="CT49" s="1278"/>
      <c r="CU49" s="1278"/>
      <c r="CV49" s="1278"/>
      <c r="CW49" s="1279"/>
      <c r="CX49" s="1001"/>
      <c r="CY49" s="1002"/>
      <c r="CZ49" s="1278"/>
      <c r="DA49" s="1278"/>
      <c r="DB49" s="1278"/>
      <c r="DC49" s="1279"/>
      <c r="DD49" s="1001"/>
      <c r="DE49" s="1006"/>
    </row>
    <row r="50" spans="1:110" ht="14.45" customHeight="1">
      <c r="A50" s="1936"/>
      <c r="B50" s="3714"/>
      <c r="C50" s="3711"/>
      <c r="D50" s="3187" t="s">
        <v>553</v>
      </c>
      <c r="E50" s="986" t="s">
        <v>132</v>
      </c>
      <c r="F50" s="986" t="s">
        <v>132</v>
      </c>
      <c r="G50" s="986" t="s">
        <v>132</v>
      </c>
      <c r="H50" s="986" t="s">
        <v>132</v>
      </c>
      <c r="I50" s="986" t="s">
        <v>132</v>
      </c>
      <c r="J50" s="986" t="s">
        <v>132</v>
      </c>
      <c r="K50" s="1944" t="s">
        <v>132</v>
      </c>
      <c r="L50" s="3342">
        <v>33</v>
      </c>
      <c r="M50" s="2021">
        <v>38</v>
      </c>
      <c r="N50" s="2021" t="s">
        <v>132</v>
      </c>
      <c r="O50" s="2021" t="s">
        <v>132</v>
      </c>
      <c r="P50" s="2021" t="s">
        <v>132</v>
      </c>
      <c r="Q50" s="2021" t="s">
        <v>132</v>
      </c>
      <c r="R50" s="3359" t="s">
        <v>132</v>
      </c>
      <c r="S50" s="2021">
        <v>33</v>
      </c>
      <c r="T50" s="2021">
        <v>38</v>
      </c>
      <c r="U50" s="2021" t="s">
        <v>132</v>
      </c>
      <c r="V50" s="2021" t="s">
        <v>132</v>
      </c>
      <c r="W50" s="2021" t="s">
        <v>132</v>
      </c>
      <c r="X50" s="2021" t="s">
        <v>132</v>
      </c>
      <c r="Y50" s="1954" t="s">
        <v>132</v>
      </c>
      <c r="Z50" s="1947"/>
      <c r="AA50" s="986" t="s">
        <v>132</v>
      </c>
      <c r="AB50" s="986" t="s">
        <v>132</v>
      </c>
      <c r="AC50" s="986" t="s">
        <v>132</v>
      </c>
      <c r="AD50" s="986" t="s">
        <v>132</v>
      </c>
      <c r="AE50" s="986" t="s">
        <v>132</v>
      </c>
      <c r="AF50" s="986" t="s">
        <v>132</v>
      </c>
      <c r="AG50" s="1949" t="s">
        <v>132</v>
      </c>
      <c r="AH50" s="3149">
        <v>2</v>
      </c>
      <c r="AI50" s="2021">
        <v>4</v>
      </c>
      <c r="AJ50" s="2021"/>
      <c r="AK50" s="2021"/>
      <c r="AL50" s="2021"/>
      <c r="AM50" s="2021"/>
      <c r="AN50" s="1954"/>
      <c r="AO50" s="3147">
        <v>2</v>
      </c>
      <c r="AP50" s="2021">
        <v>4</v>
      </c>
      <c r="AQ50" s="2021"/>
      <c r="AR50" s="2021"/>
      <c r="AS50" s="2021"/>
      <c r="AT50" s="2021"/>
      <c r="AU50" s="1946"/>
      <c r="AV50" s="1947"/>
      <c r="AW50" s="986" t="s">
        <v>132</v>
      </c>
      <c r="AX50" s="986" t="s">
        <v>132</v>
      </c>
      <c r="AY50" s="986" t="s">
        <v>132</v>
      </c>
      <c r="AZ50" s="986" t="s">
        <v>132</v>
      </c>
      <c r="BA50" s="986" t="s">
        <v>132</v>
      </c>
      <c r="BB50" s="986" t="s">
        <v>132</v>
      </c>
      <c r="BC50" s="1944" t="s">
        <v>132</v>
      </c>
      <c r="BD50" s="3149">
        <v>11</v>
      </c>
      <c r="BE50" s="2021">
        <v>13</v>
      </c>
      <c r="BF50" s="2021" t="s">
        <v>132</v>
      </c>
      <c r="BG50" s="2021" t="s">
        <v>132</v>
      </c>
      <c r="BH50" s="2021" t="s">
        <v>132</v>
      </c>
      <c r="BI50" s="2021" t="s">
        <v>132</v>
      </c>
      <c r="BJ50" s="1946" t="s">
        <v>132</v>
      </c>
      <c r="BK50" s="3151">
        <v>11</v>
      </c>
      <c r="BL50" s="2021">
        <v>13</v>
      </c>
      <c r="BM50" s="2021" t="s">
        <v>498</v>
      </c>
      <c r="BN50" s="2021" t="s">
        <v>498</v>
      </c>
      <c r="BO50" s="2021" t="s">
        <v>498</v>
      </c>
      <c r="BP50" s="2021" t="s">
        <v>498</v>
      </c>
      <c r="BQ50" s="1954" t="s">
        <v>132</v>
      </c>
      <c r="BR50" s="1947"/>
      <c r="BS50" s="3342" t="s">
        <v>132</v>
      </c>
      <c r="BT50" s="991" t="s">
        <v>132</v>
      </c>
      <c r="BU50" s="991" t="s">
        <v>132</v>
      </c>
      <c r="BV50" s="991" t="s">
        <v>132</v>
      </c>
      <c r="BW50" s="991" t="s">
        <v>132</v>
      </c>
      <c r="BX50" s="991" t="s">
        <v>132</v>
      </c>
      <c r="BY50" s="2017" t="s">
        <v>132</v>
      </c>
      <c r="BZ50" s="3343">
        <v>20</v>
      </c>
      <c r="CA50" s="2021">
        <v>22</v>
      </c>
      <c r="CB50" s="663" t="s">
        <v>132</v>
      </c>
      <c r="CC50" s="663" t="s">
        <v>132</v>
      </c>
      <c r="CD50" s="663" t="s">
        <v>132</v>
      </c>
      <c r="CE50" s="663" t="s">
        <v>132</v>
      </c>
      <c r="CF50" s="1946" t="s">
        <v>132</v>
      </c>
      <c r="CG50" s="3343">
        <v>20</v>
      </c>
      <c r="CH50" s="2021">
        <v>22</v>
      </c>
      <c r="CI50" s="663" t="s">
        <v>132</v>
      </c>
      <c r="CJ50" s="663" t="s">
        <v>132</v>
      </c>
      <c r="CK50" s="663" t="s">
        <v>132</v>
      </c>
      <c r="CL50" s="663" t="s">
        <v>132</v>
      </c>
      <c r="CM50" s="1946" t="s">
        <v>132</v>
      </c>
      <c r="CN50" s="2023"/>
      <c r="CO50" s="1279"/>
      <c r="CP50" s="1278"/>
      <c r="CQ50" s="1279"/>
      <c r="CR50" s="1001"/>
      <c r="CS50" s="1002"/>
      <c r="CT50" s="1278"/>
      <c r="CU50" s="1278"/>
      <c r="CV50" s="1278"/>
      <c r="CW50" s="1279"/>
      <c r="CX50" s="1001"/>
      <c r="CY50" s="1002"/>
      <c r="CZ50" s="1278"/>
      <c r="DA50" s="1278"/>
      <c r="DB50" s="1278"/>
      <c r="DC50" s="1279"/>
      <c r="DD50" s="1001"/>
      <c r="DE50" s="1006"/>
    </row>
    <row r="51" spans="1:110">
      <c r="A51" s="1936"/>
      <c r="B51" s="3714"/>
      <c r="C51" s="3703"/>
      <c r="D51" s="2012" t="s">
        <v>554</v>
      </c>
      <c r="E51" s="986"/>
      <c r="F51" s="986"/>
      <c r="G51" s="986"/>
      <c r="H51" s="986"/>
      <c r="I51" s="986"/>
      <c r="J51" s="986"/>
      <c r="K51" s="1949"/>
      <c r="L51" s="3342">
        <v>13</v>
      </c>
      <c r="M51" s="2021" t="s">
        <v>132</v>
      </c>
      <c r="N51" s="2021"/>
      <c r="O51" s="2021"/>
      <c r="P51" s="2021"/>
      <c r="Q51" s="2021"/>
      <c r="R51" s="3359"/>
      <c r="S51" s="2021">
        <v>13</v>
      </c>
      <c r="T51" s="2021" t="s">
        <v>132</v>
      </c>
      <c r="U51" s="2021"/>
      <c r="V51" s="2021"/>
      <c r="W51" s="2021"/>
      <c r="X51" s="2021"/>
      <c r="Y51" s="1954"/>
      <c r="Z51" s="1947"/>
      <c r="AA51" s="986"/>
      <c r="AB51" s="986"/>
      <c r="AC51" s="986"/>
      <c r="AD51" s="986"/>
      <c r="AE51" s="986"/>
      <c r="AF51" s="986"/>
      <c r="AG51" s="1949"/>
      <c r="AH51" s="3149" t="s">
        <v>498</v>
      </c>
      <c r="AI51" s="2021" t="s">
        <v>132</v>
      </c>
      <c r="AJ51" s="2021"/>
      <c r="AK51" s="2021"/>
      <c r="AL51" s="2021"/>
      <c r="AM51" s="2021"/>
      <c r="AN51" s="1954"/>
      <c r="AO51" s="3147" t="s">
        <v>498</v>
      </c>
      <c r="AP51" s="2021" t="s">
        <v>132</v>
      </c>
      <c r="AQ51" s="2021"/>
      <c r="AR51" s="2021"/>
      <c r="AS51" s="2021"/>
      <c r="AT51" s="2021"/>
      <c r="AU51" s="1954"/>
      <c r="AV51" s="1947"/>
      <c r="AW51" s="986" t="s">
        <v>132</v>
      </c>
      <c r="AX51" s="986" t="s">
        <v>132</v>
      </c>
      <c r="AY51" s="986" t="s">
        <v>132</v>
      </c>
      <c r="AZ51" s="986" t="s">
        <v>132</v>
      </c>
      <c r="BA51" s="986" t="s">
        <v>132</v>
      </c>
      <c r="BB51" s="986" t="s">
        <v>132</v>
      </c>
      <c r="BC51" s="1944" t="s">
        <v>132</v>
      </c>
      <c r="BD51" s="3149">
        <v>13</v>
      </c>
      <c r="BE51" s="2021" t="s">
        <v>132</v>
      </c>
      <c r="BF51" s="2021"/>
      <c r="BG51" s="2021"/>
      <c r="BH51" s="2021"/>
      <c r="BI51" s="2021"/>
      <c r="BJ51" s="1954"/>
      <c r="BK51" s="3147">
        <v>13</v>
      </c>
      <c r="BL51" s="2021" t="s">
        <v>132</v>
      </c>
      <c r="BM51" s="2021"/>
      <c r="BN51" s="2021"/>
      <c r="BO51" s="2021"/>
      <c r="BP51" s="2021"/>
      <c r="BQ51" s="1954"/>
      <c r="BR51" s="1947"/>
      <c r="BS51" s="3342"/>
      <c r="BT51" s="991"/>
      <c r="BU51" s="991"/>
      <c r="BV51" s="991"/>
      <c r="BW51" s="991"/>
      <c r="BX51" s="991"/>
      <c r="BY51" s="2017"/>
      <c r="BZ51" s="3343" t="s">
        <v>132</v>
      </c>
      <c r="CA51" s="2021" t="s">
        <v>132</v>
      </c>
      <c r="CB51" s="663"/>
      <c r="CC51" s="663"/>
      <c r="CD51" s="663"/>
      <c r="CE51" s="663"/>
      <c r="CF51" s="1954"/>
      <c r="CG51" s="3343" t="s">
        <v>132</v>
      </c>
      <c r="CH51" s="2021" t="s">
        <v>132</v>
      </c>
      <c r="CI51" s="663"/>
      <c r="CJ51" s="663"/>
      <c r="CK51" s="663"/>
      <c r="CL51" s="663"/>
      <c r="CM51" s="1954"/>
      <c r="CN51" s="2023"/>
      <c r="CO51" s="1279"/>
      <c r="CP51" s="1278"/>
      <c r="CQ51" s="1279"/>
      <c r="CR51" s="1001"/>
      <c r="CS51" s="1002"/>
      <c r="CT51" s="1278"/>
      <c r="CU51" s="1278"/>
      <c r="CV51" s="1278"/>
      <c r="CW51" s="1279"/>
      <c r="CX51" s="1001"/>
      <c r="CY51" s="1002"/>
      <c r="CZ51" s="1278"/>
      <c r="DA51" s="1278"/>
      <c r="DB51" s="1278"/>
      <c r="DC51" s="1279"/>
      <c r="DD51" s="1001"/>
      <c r="DE51" s="1006"/>
    </row>
    <row r="52" spans="1:110">
      <c r="A52" s="1936"/>
      <c r="B52" s="3714"/>
      <c r="C52" s="3708" t="s">
        <v>555</v>
      </c>
      <c r="D52" s="2012" t="s">
        <v>556</v>
      </c>
      <c r="E52" s="986" t="s">
        <v>132</v>
      </c>
      <c r="F52" s="986" t="s">
        <v>132</v>
      </c>
      <c r="G52" s="986" t="s">
        <v>132</v>
      </c>
      <c r="H52" s="986" t="s">
        <v>132</v>
      </c>
      <c r="I52" s="986" t="s">
        <v>132</v>
      </c>
      <c r="J52" s="986" t="s">
        <v>132</v>
      </c>
      <c r="K52" s="1949" t="s">
        <v>132</v>
      </c>
      <c r="L52" s="3342">
        <v>5005</v>
      </c>
      <c r="M52" s="2021">
        <v>5203</v>
      </c>
      <c r="N52" s="2021">
        <v>4383</v>
      </c>
      <c r="O52" s="2021">
        <v>3831</v>
      </c>
      <c r="P52" s="2021">
        <v>2498.6679840756342</v>
      </c>
      <c r="Q52" s="2021">
        <v>4915.3507438234519</v>
      </c>
      <c r="R52" s="3359">
        <v>5379.3030904772968</v>
      </c>
      <c r="S52" s="2021">
        <v>5005</v>
      </c>
      <c r="T52" s="2021">
        <v>5203</v>
      </c>
      <c r="U52" s="2021">
        <v>4383</v>
      </c>
      <c r="V52" s="2021">
        <v>3831</v>
      </c>
      <c r="W52" s="2021">
        <v>2498.6679840756342</v>
      </c>
      <c r="X52" s="2021">
        <v>4915.3507438234519</v>
      </c>
      <c r="Y52" s="1954">
        <v>5379.3030904772968</v>
      </c>
      <c r="Z52" s="1947"/>
      <c r="AA52" s="986" t="s">
        <v>132</v>
      </c>
      <c r="AB52" s="986" t="s">
        <v>132</v>
      </c>
      <c r="AC52" s="986" t="s">
        <v>132</v>
      </c>
      <c r="AD52" s="986" t="s">
        <v>132</v>
      </c>
      <c r="AE52" s="986" t="s">
        <v>132</v>
      </c>
      <c r="AF52" s="986" t="s">
        <v>132</v>
      </c>
      <c r="AG52" s="1949" t="s">
        <v>132</v>
      </c>
      <c r="AH52" s="3149" t="s">
        <v>498</v>
      </c>
      <c r="AI52" s="2021">
        <v>0</v>
      </c>
      <c r="AJ52" s="2021" t="s">
        <v>498</v>
      </c>
      <c r="AK52" s="2021" t="s">
        <v>498</v>
      </c>
      <c r="AL52" s="2021" t="s">
        <v>132</v>
      </c>
      <c r="AM52" s="2021" t="s">
        <v>132</v>
      </c>
      <c r="AN52" s="1954" t="s">
        <v>132</v>
      </c>
      <c r="AO52" s="3147" t="s">
        <v>498</v>
      </c>
      <c r="AP52" s="2021">
        <v>0</v>
      </c>
      <c r="AQ52" s="2021" t="s">
        <v>498</v>
      </c>
      <c r="AR52" s="2021" t="s">
        <v>498</v>
      </c>
      <c r="AS52" s="2021" t="s">
        <v>132</v>
      </c>
      <c r="AT52" s="2021" t="s">
        <v>132</v>
      </c>
      <c r="AU52" s="1954" t="s">
        <v>132</v>
      </c>
      <c r="AV52" s="1947"/>
      <c r="AW52" s="986" t="s">
        <v>132</v>
      </c>
      <c r="AX52" s="986" t="s">
        <v>132</v>
      </c>
      <c r="AY52" s="986" t="s">
        <v>132</v>
      </c>
      <c r="AZ52" s="986" t="s">
        <v>132</v>
      </c>
      <c r="BA52" s="986" t="s">
        <v>132</v>
      </c>
      <c r="BB52" s="986" t="s">
        <v>132</v>
      </c>
      <c r="BC52" s="1949" t="s">
        <v>132</v>
      </c>
      <c r="BD52" s="3149">
        <v>4987</v>
      </c>
      <c r="BE52" s="2021">
        <v>5184.1444500614698</v>
      </c>
      <c r="BF52" s="2021">
        <v>4366</v>
      </c>
      <c r="BG52" s="2021">
        <v>3733</v>
      </c>
      <c r="BH52" s="2021">
        <v>2418.3424510727236</v>
      </c>
      <c r="BI52" s="2021">
        <v>4762.0775230839517</v>
      </c>
      <c r="BJ52" s="1954">
        <v>5323.0516627038778</v>
      </c>
      <c r="BK52" s="3147">
        <v>4987</v>
      </c>
      <c r="BL52" s="2021">
        <v>5184.1444500614698</v>
      </c>
      <c r="BM52" s="2021">
        <v>4366</v>
      </c>
      <c r="BN52" s="2021">
        <v>3733</v>
      </c>
      <c r="BO52" s="2021">
        <v>2418.3424510727236</v>
      </c>
      <c r="BP52" s="2021">
        <v>4762.0775230839517</v>
      </c>
      <c r="BQ52" s="1954">
        <v>5323.0516627038778</v>
      </c>
      <c r="BR52" s="1947"/>
      <c r="BS52" s="3342" t="s">
        <v>132</v>
      </c>
      <c r="BT52" s="991" t="s">
        <v>132</v>
      </c>
      <c r="BU52" s="991" t="s">
        <v>132</v>
      </c>
      <c r="BV52" s="991" t="s">
        <v>132</v>
      </c>
      <c r="BW52" s="991" t="s">
        <v>132</v>
      </c>
      <c r="BX52" s="991" t="s">
        <v>132</v>
      </c>
      <c r="BY52" s="2017" t="s">
        <v>132</v>
      </c>
      <c r="BZ52" s="3343">
        <v>5082</v>
      </c>
      <c r="CA52" s="2021">
        <v>4993</v>
      </c>
      <c r="CB52" s="2021">
        <v>17</v>
      </c>
      <c r="CC52" s="2021">
        <v>98</v>
      </c>
      <c r="CD52" s="2021">
        <v>80.325533002910973</v>
      </c>
      <c r="CE52" s="2021">
        <v>153.27322073950003</v>
      </c>
      <c r="CF52" s="1954">
        <v>56.251427773418186</v>
      </c>
      <c r="CG52" s="3343">
        <v>5082</v>
      </c>
      <c r="CH52" s="2021">
        <v>4993</v>
      </c>
      <c r="CI52" s="2021">
        <v>17</v>
      </c>
      <c r="CJ52" s="2021">
        <v>98</v>
      </c>
      <c r="CK52" s="2021">
        <v>80.325533002910973</v>
      </c>
      <c r="CL52" s="2021">
        <v>153.27322073950003</v>
      </c>
      <c r="CM52" s="1954">
        <v>56.251427773418186</v>
      </c>
      <c r="CN52" s="986"/>
      <c r="CO52" s="142"/>
      <c r="CP52" s="142"/>
      <c r="CQ52" s="142"/>
      <c r="CR52" s="984"/>
      <c r="CS52" s="994"/>
      <c r="CT52" s="986"/>
      <c r="CU52" s="142"/>
      <c r="CV52" s="142"/>
      <c r="CW52" s="142"/>
      <c r="CX52" s="984"/>
      <c r="CY52" s="994"/>
      <c r="CZ52" s="986"/>
      <c r="DA52" s="142"/>
      <c r="DB52" s="142"/>
      <c r="DC52" s="142"/>
      <c r="DD52" s="984"/>
      <c r="DE52" s="1005"/>
    </row>
    <row r="53" spans="1:110" ht="14.45" customHeight="1">
      <c r="A53" s="1936"/>
      <c r="B53" s="3714"/>
      <c r="C53" s="3709"/>
      <c r="D53" s="2012" t="s">
        <v>497</v>
      </c>
      <c r="E53" s="986" t="s">
        <v>132</v>
      </c>
      <c r="F53" s="986" t="s">
        <v>132</v>
      </c>
      <c r="G53" s="986" t="s">
        <v>132</v>
      </c>
      <c r="H53" s="986" t="s">
        <v>132</v>
      </c>
      <c r="I53" s="986" t="s">
        <v>132</v>
      </c>
      <c r="J53" s="986" t="s">
        <v>132</v>
      </c>
      <c r="K53" s="1949" t="s">
        <v>132</v>
      </c>
      <c r="L53" s="3342">
        <v>1419</v>
      </c>
      <c r="M53" s="2021">
        <v>1531</v>
      </c>
      <c r="N53" s="2021" t="s">
        <v>498</v>
      </c>
      <c r="O53" s="2021" t="s">
        <v>132</v>
      </c>
      <c r="P53" s="2021" t="s">
        <v>132</v>
      </c>
      <c r="Q53" s="2021" t="s">
        <v>132</v>
      </c>
      <c r="R53" s="3359" t="s">
        <v>132</v>
      </c>
      <c r="S53" s="2021">
        <v>1419</v>
      </c>
      <c r="T53" s="2021">
        <v>1531</v>
      </c>
      <c r="U53" s="2021" t="s">
        <v>498</v>
      </c>
      <c r="V53" s="2021">
        <v>18</v>
      </c>
      <c r="W53" s="2021">
        <v>11.031040000000001</v>
      </c>
      <c r="X53" s="2021">
        <v>24.823889999999999</v>
      </c>
      <c r="Y53" s="1954">
        <v>47.379315499999997</v>
      </c>
      <c r="Z53" s="1947"/>
      <c r="AA53" s="986" t="s">
        <v>132</v>
      </c>
      <c r="AB53" s="986" t="s">
        <v>132</v>
      </c>
      <c r="AC53" s="986" t="s">
        <v>132</v>
      </c>
      <c r="AD53" s="986" t="s">
        <v>132</v>
      </c>
      <c r="AE53" s="986" t="s">
        <v>132</v>
      </c>
      <c r="AF53" s="986" t="s">
        <v>132</v>
      </c>
      <c r="AG53" s="1949" t="s">
        <v>132</v>
      </c>
      <c r="AH53" s="3149">
        <v>1419</v>
      </c>
      <c r="AI53" s="2021">
        <v>1531</v>
      </c>
      <c r="AJ53" s="2021" t="s">
        <v>498</v>
      </c>
      <c r="AK53" s="2021">
        <v>18</v>
      </c>
      <c r="AL53" s="2021">
        <v>11.031040000000001</v>
      </c>
      <c r="AM53" s="2021">
        <v>24.823889999999999</v>
      </c>
      <c r="AN53" s="1954">
        <v>47.379315499999997</v>
      </c>
      <c r="AO53" s="3147">
        <v>1419</v>
      </c>
      <c r="AP53" s="2021">
        <v>1531</v>
      </c>
      <c r="AQ53" s="2021" t="s">
        <v>498</v>
      </c>
      <c r="AR53" s="2021">
        <v>18</v>
      </c>
      <c r="AS53" s="2021">
        <v>11.031040000000001</v>
      </c>
      <c r="AT53" s="2021">
        <v>24.823889999999999</v>
      </c>
      <c r="AU53" s="1954">
        <v>47.379315499999997</v>
      </c>
      <c r="AV53" s="1947"/>
      <c r="AW53" s="986" t="s">
        <v>132</v>
      </c>
      <c r="AX53" s="986" t="s">
        <v>132</v>
      </c>
      <c r="AY53" s="986" t="s">
        <v>132</v>
      </c>
      <c r="AZ53" s="986" t="s">
        <v>132</v>
      </c>
      <c r="BA53" s="986" t="s">
        <v>132</v>
      </c>
      <c r="BB53" s="986" t="s">
        <v>132</v>
      </c>
      <c r="BC53" s="1949" t="s">
        <v>132</v>
      </c>
      <c r="BD53" s="3149" t="s">
        <v>498</v>
      </c>
      <c r="BE53" s="2021">
        <v>0</v>
      </c>
      <c r="BF53" s="2021" t="s">
        <v>498</v>
      </c>
      <c r="BG53" s="2021" t="s">
        <v>498</v>
      </c>
      <c r="BH53" s="2021" t="s">
        <v>132</v>
      </c>
      <c r="BI53" s="2021" t="s">
        <v>132</v>
      </c>
      <c r="BJ53" s="1954" t="s">
        <v>132</v>
      </c>
      <c r="BK53" s="3147" t="s">
        <v>498</v>
      </c>
      <c r="BL53" s="2021" t="s">
        <v>132</v>
      </c>
      <c r="BM53" s="2021" t="s">
        <v>498</v>
      </c>
      <c r="BN53" s="2021" t="s">
        <v>498</v>
      </c>
      <c r="BO53" s="2021" t="s">
        <v>132</v>
      </c>
      <c r="BP53" s="2021" t="s">
        <v>132</v>
      </c>
      <c r="BQ53" s="1954" t="s">
        <v>132</v>
      </c>
      <c r="BR53" s="1947"/>
      <c r="BS53" s="3342" t="s">
        <v>132</v>
      </c>
      <c r="BT53" s="991" t="s">
        <v>132</v>
      </c>
      <c r="BU53" s="991" t="s">
        <v>132</v>
      </c>
      <c r="BV53" s="991" t="s">
        <v>132</v>
      </c>
      <c r="BW53" s="991" t="s">
        <v>132</v>
      </c>
      <c r="BX53" s="991" t="s">
        <v>132</v>
      </c>
      <c r="BY53" s="2017" t="s">
        <v>132</v>
      </c>
      <c r="BZ53" s="3343" t="s">
        <v>132</v>
      </c>
      <c r="CA53" s="2021" t="s">
        <v>498</v>
      </c>
      <c r="CB53" s="2021" t="s">
        <v>498</v>
      </c>
      <c r="CC53" s="2021" t="s">
        <v>498</v>
      </c>
      <c r="CD53" s="2021" t="s">
        <v>132</v>
      </c>
      <c r="CE53" s="2021" t="s">
        <v>132</v>
      </c>
      <c r="CF53" s="1954" t="s">
        <v>132</v>
      </c>
      <c r="CG53" s="3343" t="s">
        <v>132</v>
      </c>
      <c r="CH53" s="2021" t="s">
        <v>498</v>
      </c>
      <c r="CI53" s="2021" t="s">
        <v>498</v>
      </c>
      <c r="CJ53" s="2021" t="s">
        <v>498</v>
      </c>
      <c r="CK53" s="2021" t="s">
        <v>132</v>
      </c>
      <c r="CL53" s="2021">
        <v>0</v>
      </c>
      <c r="CM53" s="1954" t="s">
        <v>132</v>
      </c>
      <c r="CN53" s="986"/>
      <c r="CO53" s="142"/>
      <c r="CP53" s="142"/>
      <c r="CQ53" s="142"/>
      <c r="CR53" s="984"/>
      <c r="CS53" s="994"/>
      <c r="CT53" s="986"/>
      <c r="CU53" s="142"/>
      <c r="CV53" s="142"/>
      <c r="CW53" s="142"/>
      <c r="CX53" s="984"/>
      <c r="CY53" s="994"/>
      <c r="CZ53" s="986"/>
      <c r="DA53" s="142"/>
      <c r="DB53" s="142"/>
      <c r="DC53" s="142"/>
      <c r="DD53" s="984"/>
      <c r="DE53" s="1005"/>
    </row>
    <row r="54" spans="1:110" ht="14.45" thickBot="1">
      <c r="A54" s="1936"/>
      <c r="B54" s="3714"/>
      <c r="C54" s="3710"/>
      <c r="D54" s="2012" t="s">
        <v>557</v>
      </c>
      <c r="E54" s="986" t="s">
        <v>132</v>
      </c>
      <c r="F54" s="986" t="s">
        <v>132</v>
      </c>
      <c r="G54" s="986" t="s">
        <v>132</v>
      </c>
      <c r="H54" s="986" t="s">
        <v>132</v>
      </c>
      <c r="I54" s="986" t="s">
        <v>132</v>
      </c>
      <c r="J54" s="986" t="s">
        <v>132</v>
      </c>
      <c r="K54" s="1949" t="s">
        <v>132</v>
      </c>
      <c r="L54" s="3342">
        <v>17469</v>
      </c>
      <c r="M54" s="2021">
        <v>17390</v>
      </c>
      <c r="N54" s="2021">
        <v>15649</v>
      </c>
      <c r="O54" s="2021">
        <v>15077</v>
      </c>
      <c r="P54" s="2021">
        <v>13372.920940212774</v>
      </c>
      <c r="Q54" s="2021">
        <v>22245.954392476084</v>
      </c>
      <c r="R54" s="3359">
        <v>26176.65029296705</v>
      </c>
      <c r="S54" s="3342"/>
      <c r="T54" s="2021" t="s">
        <v>498</v>
      </c>
      <c r="U54" s="2021" t="s">
        <v>498</v>
      </c>
      <c r="V54" s="2021" t="s">
        <v>498</v>
      </c>
      <c r="W54" s="2021" t="s">
        <v>132</v>
      </c>
      <c r="X54" s="2021" t="s">
        <v>132</v>
      </c>
      <c r="Y54" s="1954" t="s">
        <v>132</v>
      </c>
      <c r="Z54" s="1947"/>
      <c r="AA54" s="986" t="s">
        <v>132</v>
      </c>
      <c r="AB54" s="986" t="s">
        <v>132</v>
      </c>
      <c r="AC54" s="986" t="s">
        <v>132</v>
      </c>
      <c r="AD54" s="986" t="s">
        <v>132</v>
      </c>
      <c r="AE54" s="986" t="s">
        <v>132</v>
      </c>
      <c r="AF54" s="986" t="s">
        <v>132</v>
      </c>
      <c r="AG54" s="1949" t="s">
        <v>132</v>
      </c>
      <c r="AH54" s="3149">
        <v>1483</v>
      </c>
      <c r="AI54" s="2021">
        <v>1385.4260120312563</v>
      </c>
      <c r="AJ54" s="2021">
        <v>1070</v>
      </c>
      <c r="AK54" s="2021">
        <v>1531</v>
      </c>
      <c r="AL54" s="2021">
        <v>1667.1496795765997</v>
      </c>
      <c r="AM54" s="2021">
        <v>2601.1784834280002</v>
      </c>
      <c r="AN54" s="1954">
        <v>3052.8304073299996</v>
      </c>
      <c r="AO54" s="3147" t="s">
        <v>498</v>
      </c>
      <c r="AP54" s="2021" t="s">
        <v>132</v>
      </c>
      <c r="AQ54" s="2021" t="s">
        <v>498</v>
      </c>
      <c r="AR54" s="2021" t="s">
        <v>498</v>
      </c>
      <c r="AS54" s="2021" t="s">
        <v>132</v>
      </c>
      <c r="AT54" s="2021" t="s">
        <v>132</v>
      </c>
      <c r="AU54" s="1954" t="s">
        <v>132</v>
      </c>
      <c r="AV54" s="1947"/>
      <c r="AW54" s="986" t="s">
        <v>132</v>
      </c>
      <c r="AX54" s="986" t="s">
        <v>132</v>
      </c>
      <c r="AY54" s="986" t="s">
        <v>132</v>
      </c>
      <c r="AZ54" s="986" t="s">
        <v>132</v>
      </c>
      <c r="BA54" s="986" t="s">
        <v>132</v>
      </c>
      <c r="BB54" s="986" t="s">
        <v>132</v>
      </c>
      <c r="BC54" s="1949" t="s">
        <v>132</v>
      </c>
      <c r="BD54" s="3149">
        <v>10541</v>
      </c>
      <c r="BE54" s="2021">
        <v>10006.273015063754</v>
      </c>
      <c r="BF54" s="2021">
        <v>8936</v>
      </c>
      <c r="BG54" s="2021">
        <v>7662</v>
      </c>
      <c r="BH54" s="2021">
        <v>6401.3047783723714</v>
      </c>
      <c r="BI54" s="2021">
        <v>11039.162724482763</v>
      </c>
      <c r="BJ54" s="1954">
        <v>12745.876529657142</v>
      </c>
      <c r="BK54" s="3147" t="s">
        <v>498</v>
      </c>
      <c r="BL54" s="2021" t="s">
        <v>498</v>
      </c>
      <c r="BM54" s="2021" t="s">
        <v>498</v>
      </c>
      <c r="BN54" s="2021" t="s">
        <v>498</v>
      </c>
      <c r="BO54" s="2021" t="s">
        <v>132</v>
      </c>
      <c r="BP54" s="2021" t="s">
        <v>132</v>
      </c>
      <c r="BQ54" s="1954" t="s">
        <v>132</v>
      </c>
      <c r="BR54" s="1947"/>
      <c r="BS54" s="3342" t="s">
        <v>132</v>
      </c>
      <c r="BT54" s="991" t="s">
        <v>132</v>
      </c>
      <c r="BU54" s="991" t="s">
        <v>132</v>
      </c>
      <c r="BV54" s="991" t="s">
        <v>132</v>
      </c>
      <c r="BW54" s="991" t="s">
        <v>132</v>
      </c>
      <c r="BX54" s="991" t="s">
        <v>132</v>
      </c>
      <c r="BY54" s="2017" t="s">
        <v>132</v>
      </c>
      <c r="BZ54" s="3343">
        <v>5445</v>
      </c>
      <c r="CA54" s="2021">
        <v>5998</v>
      </c>
      <c r="CB54" s="2021">
        <v>5644</v>
      </c>
      <c r="CC54" s="2021">
        <v>5885</v>
      </c>
      <c r="CD54" s="2021">
        <v>5304.4664822637978</v>
      </c>
      <c r="CE54" s="2021">
        <v>8605.6131845653199</v>
      </c>
      <c r="CF54" s="1954">
        <v>10377.943355979898</v>
      </c>
      <c r="CG54" s="3343" t="s">
        <v>498</v>
      </c>
      <c r="CH54" s="2021" t="s">
        <v>498</v>
      </c>
      <c r="CI54" s="2021" t="s">
        <v>498</v>
      </c>
      <c r="CJ54" s="2021" t="s">
        <v>498</v>
      </c>
      <c r="CK54" s="2021" t="s">
        <v>132</v>
      </c>
      <c r="CL54" s="2021">
        <v>0</v>
      </c>
      <c r="CM54" s="1954" t="s">
        <v>132</v>
      </c>
      <c r="CN54" s="992"/>
      <c r="CO54" s="491"/>
      <c r="CP54" s="491"/>
      <c r="CQ54" s="491"/>
      <c r="CR54" s="1001"/>
      <c r="CS54" s="1002"/>
      <c r="CT54" s="992"/>
      <c r="CU54" s="491"/>
      <c r="CV54" s="491"/>
      <c r="CW54" s="491"/>
      <c r="CX54" s="1001"/>
      <c r="CY54" s="1002"/>
      <c r="CZ54" s="992"/>
      <c r="DA54" s="491"/>
      <c r="DB54" s="491"/>
      <c r="DC54" s="491"/>
      <c r="DD54" s="1001"/>
      <c r="DE54" s="1006"/>
    </row>
    <row r="55" spans="1:110" s="667" customFormat="1" ht="15" customHeight="1" thickBot="1">
      <c r="A55" s="1963"/>
      <c r="B55" s="3714"/>
      <c r="C55" s="3704" t="s">
        <v>558</v>
      </c>
      <c r="D55" s="3705"/>
      <c r="E55" s="3382" t="s">
        <v>132</v>
      </c>
      <c r="F55" s="1975" t="s">
        <v>132</v>
      </c>
      <c r="G55" s="3383" t="s">
        <v>132</v>
      </c>
      <c r="H55" s="3384" t="s">
        <v>132</v>
      </c>
      <c r="I55" s="3383" t="s">
        <v>132</v>
      </c>
      <c r="J55" s="3383" t="s">
        <v>132</v>
      </c>
      <c r="K55" s="3385" t="s">
        <v>132</v>
      </c>
      <c r="L55" s="2026">
        <f>SUM(L29:L54)</f>
        <v>6252048</v>
      </c>
      <c r="M55" s="3382">
        <f>SUM(M29:M54)</f>
        <v>5813671</v>
      </c>
      <c r="N55" s="1975">
        <f>SUM(N29:N54)</f>
        <v>5491146</v>
      </c>
      <c r="O55" s="3382">
        <f>SUM(O29:O54)</f>
        <v>3127922</v>
      </c>
      <c r="P55" s="3422">
        <f>SUM(P29:P54)</f>
        <v>1548417.9005656813</v>
      </c>
      <c r="Q55" s="1975">
        <f>SUM(Q29:Q54)</f>
        <v>5819985.8259204561</v>
      </c>
      <c r="R55" s="3386">
        <f>SUM(R29:R54)</f>
        <v>6297505.3723060153</v>
      </c>
      <c r="S55" s="3423">
        <f>SUM(S29:S54)</f>
        <v>6234579</v>
      </c>
      <c r="T55" s="3422">
        <f t="shared" ref="T55:Y55" si="18">SUM(T29:T54)</f>
        <v>5796281</v>
      </c>
      <c r="U55" s="3422">
        <f t="shared" si="18"/>
        <v>5475153.7259999998</v>
      </c>
      <c r="V55" s="1975">
        <f t="shared" si="18"/>
        <v>3112711.8640000001</v>
      </c>
      <c r="W55" s="2042">
        <f t="shared" si="18"/>
        <v>1534977.0590634246</v>
      </c>
      <c r="X55" s="1975">
        <f t="shared" si="18"/>
        <v>5797764.6954179797</v>
      </c>
      <c r="Y55" s="2024">
        <f t="shared" si="18"/>
        <v>6246728.1995722521</v>
      </c>
      <c r="Z55" s="1967"/>
      <c r="AA55" s="3382" t="s">
        <v>132</v>
      </c>
      <c r="AB55" s="1975" t="s">
        <v>132</v>
      </c>
      <c r="AC55" s="3383" t="s">
        <v>132</v>
      </c>
      <c r="AD55" s="3384" t="s">
        <v>132</v>
      </c>
      <c r="AE55" s="3383" t="s">
        <v>132</v>
      </c>
      <c r="AF55" s="3383" t="s">
        <v>132</v>
      </c>
      <c r="AG55" s="3385" t="s">
        <v>132</v>
      </c>
      <c r="AH55" s="3384">
        <f>SUM(AH29:AH54)</f>
        <v>707265</v>
      </c>
      <c r="AI55" s="3384">
        <f>SUM(AI29:AI54)</f>
        <v>656106.1213109768</v>
      </c>
      <c r="AJ55" s="2024">
        <f t="shared" ref="AI55:AN55" si="19">SUM(AJ29:AJ54)</f>
        <v>551242</v>
      </c>
      <c r="AK55" s="2024">
        <f t="shared" si="19"/>
        <v>489713</v>
      </c>
      <c r="AL55" s="2024">
        <f t="shared" si="19"/>
        <v>378931.26015716803</v>
      </c>
      <c r="AM55" s="2024">
        <f t="shared" si="19"/>
        <v>634520.09655798459</v>
      </c>
      <c r="AN55" s="2024">
        <f t="shared" si="19"/>
        <v>684065.41073039034</v>
      </c>
      <c r="AO55" s="2024">
        <f>SUM(AO29:AO54)</f>
        <v>705782</v>
      </c>
      <c r="AP55" s="2024">
        <f>SUM(AP29:AP54)</f>
        <v>654720.69529894553</v>
      </c>
      <c r="AQ55" s="2024">
        <f t="shared" ref="AQ55:AU55" si="20">SUM(AQ29:AQ54)</f>
        <v>550172.4</v>
      </c>
      <c r="AR55" s="2024">
        <f t="shared" si="20"/>
        <v>488182</v>
      </c>
      <c r="AS55" s="2024">
        <f t="shared" si="20"/>
        <v>377264.11047759146</v>
      </c>
      <c r="AT55" s="2024">
        <f t="shared" si="20"/>
        <v>631918.91807455663</v>
      </c>
      <c r="AU55" s="2024">
        <f t="shared" si="20"/>
        <v>681012.58032306039</v>
      </c>
      <c r="AV55" s="1967"/>
      <c r="AW55" s="3423" t="s">
        <v>132</v>
      </c>
      <c r="AX55" s="1975" t="s">
        <v>132</v>
      </c>
      <c r="AY55" s="1975" t="s">
        <v>132</v>
      </c>
      <c r="AZ55" s="2024" t="s">
        <v>132</v>
      </c>
      <c r="BA55" s="1975" t="s">
        <v>132</v>
      </c>
      <c r="BB55" s="1975" t="s">
        <v>132</v>
      </c>
      <c r="BC55" s="2025" t="s">
        <v>132</v>
      </c>
      <c r="BD55" s="2024">
        <f>SUM(BD29:BD54)</f>
        <v>3137235</v>
      </c>
      <c r="BE55" s="2024">
        <f>SUM(BE29:BE54)</f>
        <v>2900255.3567505684</v>
      </c>
      <c r="BF55" s="2024">
        <f t="shared" ref="BF55:BJ55" si="21">SUM(BF29:BF54)</f>
        <v>2872979</v>
      </c>
      <c r="BG55" s="2024">
        <f t="shared" si="21"/>
        <v>1489414</v>
      </c>
      <c r="BH55" s="2024">
        <f t="shared" si="21"/>
        <v>666571.23724313313</v>
      </c>
      <c r="BI55" s="2024">
        <f t="shared" si="21"/>
        <v>3193492.7252215715</v>
      </c>
      <c r="BJ55" s="2025">
        <f t="shared" si="21"/>
        <v>3408319.827060685</v>
      </c>
      <c r="BK55" s="2024">
        <f>SUM(BK29:BK54)</f>
        <v>3126694</v>
      </c>
      <c r="BL55" s="2024">
        <f>SUM(BL29:BL54)</f>
        <v>2890249.0837355047</v>
      </c>
      <c r="BM55" s="2024">
        <f t="shared" ref="BM55:BQ55" si="22">SUM(BM29:BM54)</f>
        <v>2863700.13</v>
      </c>
      <c r="BN55" s="2024">
        <f t="shared" si="22"/>
        <v>1481601.452</v>
      </c>
      <c r="BO55" s="2024">
        <f t="shared" si="22"/>
        <v>660090.98086271668</v>
      </c>
      <c r="BP55" s="2024">
        <f t="shared" si="22"/>
        <v>3182453.5624970887</v>
      </c>
      <c r="BQ55" s="2024">
        <f t="shared" si="22"/>
        <v>3395385.1101096435</v>
      </c>
      <c r="BR55" s="1967"/>
      <c r="BS55" s="3423" t="s">
        <v>132</v>
      </c>
      <c r="BT55" s="1975" t="s">
        <v>132</v>
      </c>
      <c r="BU55" s="1975" t="s">
        <v>132</v>
      </c>
      <c r="BV55" s="2024" t="s">
        <v>132</v>
      </c>
      <c r="BW55" s="1975" t="s">
        <v>132</v>
      </c>
      <c r="BX55" s="1975" t="s">
        <v>132</v>
      </c>
      <c r="BY55" s="2025" t="s">
        <v>132</v>
      </c>
      <c r="BZ55" s="2024">
        <f>SUM(BZ29:BZ54)</f>
        <v>2411569</v>
      </c>
      <c r="CA55" s="2024">
        <f>SUM(CA29:CA54)</f>
        <v>2261480</v>
      </c>
      <c r="CB55" s="2024">
        <f t="shared" ref="CB55:CF55" si="23">SUM(CB29:CB54)</f>
        <v>2066174</v>
      </c>
      <c r="CC55" s="2024">
        <f t="shared" si="23"/>
        <v>1148508</v>
      </c>
      <c r="CD55" s="2024">
        <f t="shared" si="23"/>
        <v>503033.98944432323</v>
      </c>
      <c r="CE55" s="2024">
        <f t="shared" si="23"/>
        <v>1988380.7035439073</v>
      </c>
      <c r="CF55" s="2025">
        <f t="shared" si="23"/>
        <v>2204132.2277465486</v>
      </c>
      <c r="CG55" s="2024">
        <f>SUM(CG29:CG54)</f>
        <v>2406124</v>
      </c>
      <c r="CH55" s="2024">
        <f>SUM(CH29:CH54)</f>
        <v>2255482</v>
      </c>
      <c r="CI55" s="2024">
        <f t="shared" ref="CI55:CM55" si="24">SUM(CI29:CI54)</f>
        <v>2060530.32</v>
      </c>
      <c r="CJ55" s="2024">
        <f t="shared" si="24"/>
        <v>1142622.8999999999</v>
      </c>
      <c r="CK55" s="2024">
        <f t="shared" si="24"/>
        <v>497729.52296205942</v>
      </c>
      <c r="CL55" s="2024">
        <f t="shared" si="24"/>
        <v>1979775.0903593421</v>
      </c>
      <c r="CM55" s="2024">
        <f t="shared" si="24"/>
        <v>2193754.2843905687</v>
      </c>
      <c r="CN55" s="2027"/>
      <c r="CO55" s="675">
        <f>SUM(CO38:CO54)</f>
        <v>0</v>
      </c>
      <c r="CP55" s="674">
        <f>SUM(CP38:CP54)</f>
        <v>0</v>
      </c>
      <c r="CQ55" s="675">
        <f>SUM(CQ38:CQ54)</f>
        <v>0</v>
      </c>
      <c r="CR55" s="998"/>
      <c r="CS55" s="1003"/>
      <c r="CT55" s="673"/>
      <c r="CU55" s="674">
        <f>SUM(CU38:CU54)</f>
        <v>0</v>
      </c>
      <c r="CV55" s="674">
        <f>SUM(CV38:CV54)</f>
        <v>0</v>
      </c>
      <c r="CW55" s="675">
        <f>SUM(CW38:CW54)</f>
        <v>0</v>
      </c>
      <c r="CX55" s="998"/>
      <c r="CY55" s="1003"/>
      <c r="CZ55" s="673"/>
      <c r="DA55" s="674">
        <f>SUM(DA38:DA54)</f>
        <v>0</v>
      </c>
      <c r="DB55" s="674">
        <f>SUM(DB38:DB54)</f>
        <v>0</v>
      </c>
      <c r="DC55" s="675">
        <f>SUM(DC38:DC54)</f>
        <v>0</v>
      </c>
      <c r="DD55" s="998"/>
      <c r="DE55" s="1899"/>
      <c r="DF55" s="1902"/>
    </row>
    <row r="56" spans="1:110" ht="40.15" thickBot="1">
      <c r="A56" s="1936"/>
      <c r="B56" s="3715"/>
      <c r="C56" s="3396" t="s">
        <v>522</v>
      </c>
      <c r="D56" s="3380" t="s">
        <v>559</v>
      </c>
      <c r="E56" s="3387" t="s">
        <v>132</v>
      </c>
      <c r="F56" s="3388" t="s">
        <v>132</v>
      </c>
      <c r="G56" s="3388" t="s">
        <v>132</v>
      </c>
      <c r="H56" s="3388" t="s">
        <v>132</v>
      </c>
      <c r="I56" s="3388" t="s">
        <v>132</v>
      </c>
      <c r="J56" s="3388" t="s">
        <v>132</v>
      </c>
      <c r="K56" s="3389" t="s">
        <v>132</v>
      </c>
      <c r="L56" s="3365">
        <f>SUM(L35:L36)</f>
        <v>1947</v>
      </c>
      <c r="M56" s="3390">
        <f t="shared" ref="M56:Y56" si="25">SUM(M35:M36)</f>
        <v>1551</v>
      </c>
      <c r="N56" s="3390">
        <f t="shared" si="25"/>
        <v>881</v>
      </c>
      <c r="O56" s="3390">
        <f t="shared" si="25"/>
        <v>208</v>
      </c>
      <c r="P56" s="3390">
        <f t="shared" si="25"/>
        <v>62.207061682666662</v>
      </c>
      <c r="Q56" s="3390">
        <f t="shared" si="25"/>
        <v>4467.5628186687627</v>
      </c>
      <c r="R56" s="3390">
        <f t="shared" si="25"/>
        <v>2076.1314112457485</v>
      </c>
      <c r="S56" s="3390">
        <f>SUM(S35:S36)</f>
        <v>1947</v>
      </c>
      <c r="T56" s="3390">
        <f t="shared" si="25"/>
        <v>1551</v>
      </c>
      <c r="U56" s="3390">
        <f t="shared" si="25"/>
        <v>881</v>
      </c>
      <c r="V56" s="3390">
        <f t="shared" si="25"/>
        <v>208</v>
      </c>
      <c r="W56" s="3390">
        <f t="shared" si="25"/>
        <v>62.207061682666662</v>
      </c>
      <c r="X56" s="3390">
        <f t="shared" si="25"/>
        <v>4467.5628186687627</v>
      </c>
      <c r="Y56" s="3390">
        <f t="shared" si="25"/>
        <v>2076.1314112457485</v>
      </c>
      <c r="Z56" s="2029"/>
      <c r="AA56" s="3388" t="s">
        <v>132</v>
      </c>
      <c r="AB56" s="3388" t="s">
        <v>132</v>
      </c>
      <c r="AC56" s="3388" t="s">
        <v>132</v>
      </c>
      <c r="AD56" s="3388" t="s">
        <v>132</v>
      </c>
      <c r="AE56" s="3388" t="s">
        <v>132</v>
      </c>
      <c r="AF56" s="3388" t="s">
        <v>132</v>
      </c>
      <c r="AG56" s="2052" t="s">
        <v>132</v>
      </c>
      <c r="AH56" s="3365">
        <f>SUM(AH35:AH36)</f>
        <v>101</v>
      </c>
      <c r="AI56" s="3381">
        <f t="shared" ref="AI56:AU56" si="26">SUM(AI35:AI36)</f>
        <v>95.722338810389516</v>
      </c>
      <c r="AJ56" s="3368">
        <f t="shared" si="26"/>
        <v>14</v>
      </c>
      <c r="AK56" s="3367">
        <f t="shared" si="26"/>
        <v>5</v>
      </c>
      <c r="AL56" s="3368">
        <f t="shared" si="26"/>
        <v>8.4330571320000018</v>
      </c>
      <c r="AM56" s="3364">
        <f t="shared" si="26"/>
        <v>64.519911007261499</v>
      </c>
      <c r="AN56" s="3366">
        <f t="shared" si="26"/>
        <v>163.58842359038226</v>
      </c>
      <c r="AO56" s="3365">
        <f t="shared" si="26"/>
        <v>101</v>
      </c>
      <c r="AP56" s="3368">
        <f t="shared" si="26"/>
        <v>95.722338810389516</v>
      </c>
      <c r="AQ56" s="3368">
        <f t="shared" si="26"/>
        <v>14.399999999999999</v>
      </c>
      <c r="AR56" s="3368">
        <f t="shared" si="26"/>
        <v>5</v>
      </c>
      <c r="AS56" s="3364">
        <f t="shared" si="26"/>
        <v>8.4330571320000018</v>
      </c>
      <c r="AT56" s="3367">
        <f t="shared" si="26"/>
        <v>64.519911007261499</v>
      </c>
      <c r="AU56" s="3366">
        <f t="shared" si="26"/>
        <v>163.58842359038226</v>
      </c>
      <c r="AV56" s="2029"/>
      <c r="AW56" s="3376" t="s">
        <v>132</v>
      </c>
      <c r="AX56" s="3376" t="s">
        <v>132</v>
      </c>
      <c r="AY56" s="3376" t="s">
        <v>132</v>
      </c>
      <c r="AZ56" s="3376" t="s">
        <v>132</v>
      </c>
      <c r="BA56" s="3376" t="s">
        <v>132</v>
      </c>
      <c r="BB56" s="3376" t="s">
        <v>132</v>
      </c>
      <c r="BC56" s="3431" t="s">
        <v>132</v>
      </c>
      <c r="BD56" s="3375">
        <f>SUM(BD35:BD36)</f>
        <v>512</v>
      </c>
      <c r="BE56" s="3375">
        <f t="shared" ref="BE56:BQ56" si="27">SUM(BE35:BE36)</f>
        <v>458.0425006080398</v>
      </c>
      <c r="BF56" s="3375">
        <f t="shared" si="27"/>
        <v>147</v>
      </c>
      <c r="BG56" s="3375">
        <f t="shared" si="27"/>
        <v>24</v>
      </c>
      <c r="BH56" s="3375">
        <f t="shared" si="27"/>
        <v>14.030318154000007</v>
      </c>
      <c r="BI56" s="3375">
        <f t="shared" si="27"/>
        <v>400.54437933490976</v>
      </c>
      <c r="BJ56" s="3366">
        <f t="shared" si="27"/>
        <v>509.12592708077796</v>
      </c>
      <c r="BK56" s="3365">
        <f t="shared" si="27"/>
        <v>512</v>
      </c>
      <c r="BL56" s="3374">
        <f t="shared" si="27"/>
        <v>458.0425006080398</v>
      </c>
      <c r="BM56" s="3375">
        <f t="shared" si="27"/>
        <v>147</v>
      </c>
      <c r="BN56" s="3375">
        <f t="shared" si="27"/>
        <v>24</v>
      </c>
      <c r="BO56" s="3375">
        <f t="shared" si="27"/>
        <v>14.030318154000007</v>
      </c>
      <c r="BP56" s="3375">
        <f t="shared" si="27"/>
        <v>400.54437933490976</v>
      </c>
      <c r="BQ56" s="3375">
        <f t="shared" si="27"/>
        <v>509.12592708077796</v>
      </c>
      <c r="BR56" s="2029"/>
      <c r="BS56" s="3376" t="s">
        <v>132</v>
      </c>
      <c r="BT56" s="3376" t="s">
        <v>132</v>
      </c>
      <c r="BU56" s="3376" t="s">
        <v>132</v>
      </c>
      <c r="BV56" s="3376" t="s">
        <v>132</v>
      </c>
      <c r="BW56" s="3376" t="s">
        <v>132</v>
      </c>
      <c r="BX56" s="3376" t="s">
        <v>132</v>
      </c>
      <c r="BY56" s="3377" t="s">
        <v>132</v>
      </c>
      <c r="BZ56" s="3363">
        <v>289</v>
      </c>
      <c r="CA56" s="2044">
        <v>189</v>
      </c>
      <c r="CB56" s="1274">
        <v>69</v>
      </c>
      <c r="CC56" s="2046">
        <v>18</v>
      </c>
      <c r="CD56" s="2044">
        <v>20</v>
      </c>
      <c r="CE56" s="2044">
        <v>532</v>
      </c>
      <c r="CF56" s="2047">
        <v>415.510292183866</v>
      </c>
      <c r="CG56" s="2046">
        <v>289</v>
      </c>
      <c r="CH56" s="2046">
        <v>189</v>
      </c>
      <c r="CI56" s="2044">
        <v>69</v>
      </c>
      <c r="CJ56" s="2044">
        <v>18</v>
      </c>
      <c r="CK56" s="2044">
        <v>20</v>
      </c>
      <c r="CL56" s="2044">
        <v>532</v>
      </c>
      <c r="CM56" s="3391">
        <v>415.510292183866</v>
      </c>
      <c r="CN56" s="676"/>
      <c r="CO56" s="676"/>
      <c r="CP56" s="676"/>
      <c r="CQ56" s="676"/>
      <c r="CR56" s="1001"/>
      <c r="CS56" s="1002"/>
      <c r="CT56" s="676"/>
      <c r="CU56" s="676"/>
      <c r="CV56" s="676"/>
      <c r="CW56" s="676"/>
      <c r="CX56" s="999"/>
      <c r="CY56" s="1002"/>
      <c r="CZ56" s="676"/>
      <c r="DA56" s="676"/>
      <c r="DB56" s="676"/>
      <c r="DC56" s="676"/>
      <c r="DD56" s="999"/>
      <c r="DE56" s="2030"/>
      <c r="DF56" s="1901"/>
    </row>
    <row r="57" spans="1:110" s="667" customFormat="1" ht="15" customHeight="1" thickBot="1">
      <c r="A57" s="1963"/>
      <c r="B57" s="3424"/>
      <c r="C57" s="3704" t="s">
        <v>560</v>
      </c>
      <c r="D57" s="3705"/>
      <c r="E57" s="3382" t="s">
        <v>132</v>
      </c>
      <c r="F57" s="3422" t="s">
        <v>132</v>
      </c>
      <c r="G57" s="2026" t="s">
        <v>132</v>
      </c>
      <c r="H57" s="2024" t="s">
        <v>132</v>
      </c>
      <c r="I57" s="1975" t="s">
        <v>132</v>
      </c>
      <c r="J57" s="1975" t="s">
        <v>132</v>
      </c>
      <c r="K57" s="2025" t="s">
        <v>132</v>
      </c>
      <c r="L57" s="2026">
        <f>L25+L55</f>
        <v>6294240.04</v>
      </c>
      <c r="M57" s="1975">
        <f t="shared" ref="M57:Y57" si="28">M25+M55</f>
        <v>5853757</v>
      </c>
      <c r="N57" s="1975">
        <f t="shared" si="28"/>
        <v>5531678.2000000002</v>
      </c>
      <c r="O57" s="3382">
        <f t="shared" si="28"/>
        <v>3165892.0067842114</v>
      </c>
      <c r="P57" s="3422">
        <f t="shared" si="28"/>
        <v>1587621.2688733337</v>
      </c>
      <c r="Q57" s="1975">
        <f t="shared" si="28"/>
        <v>5870361.0698944386</v>
      </c>
      <c r="R57" s="3386">
        <f t="shared" si="28"/>
        <v>6345452.4341115896</v>
      </c>
      <c r="S57" s="3423">
        <f>S25+S55</f>
        <v>6246214.1399999997</v>
      </c>
      <c r="T57" s="3422">
        <f t="shared" si="28"/>
        <v>5808717.5549999997</v>
      </c>
      <c r="U57" s="3422">
        <f t="shared" si="28"/>
        <v>5492173.9849999994</v>
      </c>
      <c r="V57" s="1975">
        <f t="shared" si="28"/>
        <v>3127993.3762305179</v>
      </c>
      <c r="W57" s="2042">
        <f t="shared" si="28"/>
        <v>1550832.427371077</v>
      </c>
      <c r="X57" s="1975">
        <f t="shared" si="28"/>
        <v>5813589.1357368352</v>
      </c>
      <c r="Y57" s="2024">
        <f t="shared" si="28"/>
        <v>6261455.9017598331</v>
      </c>
      <c r="Z57" s="1967"/>
      <c r="AA57" s="3423" t="s">
        <v>132</v>
      </c>
      <c r="AB57" s="1975" t="s">
        <v>132</v>
      </c>
      <c r="AC57" s="1975" t="s">
        <v>132</v>
      </c>
      <c r="AD57" s="2024" t="s">
        <v>132</v>
      </c>
      <c r="AE57" s="1975" t="s">
        <v>132</v>
      </c>
      <c r="AF57" s="1975" t="s">
        <v>132</v>
      </c>
      <c r="AG57" s="2025" t="s">
        <v>132</v>
      </c>
      <c r="AH57" s="2026">
        <f>AH25+AH55</f>
        <v>711176.21</v>
      </c>
      <c r="AI57" s="1975">
        <f>AI25+AI55</f>
        <v>660093.41131097684</v>
      </c>
      <c r="AJ57" s="1975">
        <f t="shared" ref="AI57:AU57" si="29">AJ25+AJ55</f>
        <v>554949.16991103056</v>
      </c>
      <c r="AK57" s="3382">
        <f t="shared" si="29"/>
        <v>492919.49078877969</v>
      </c>
      <c r="AL57" s="3422">
        <f t="shared" si="29"/>
        <v>383434.350168548</v>
      </c>
      <c r="AM57" s="1975">
        <f t="shared" si="29"/>
        <v>641541.9907509</v>
      </c>
      <c r="AN57" s="3386">
        <f t="shared" si="29"/>
        <v>691567.8669766431</v>
      </c>
      <c r="AO57" s="3423">
        <f>AO25+AO55</f>
        <v>707688.21</v>
      </c>
      <c r="AP57" s="3422">
        <f t="shared" si="29"/>
        <v>656656.98529894557</v>
      </c>
      <c r="AQ57" s="3422">
        <f t="shared" si="29"/>
        <v>551833.41</v>
      </c>
      <c r="AR57" s="1975">
        <f t="shared" si="29"/>
        <v>489700.67</v>
      </c>
      <c r="AS57" s="2042">
        <f t="shared" si="29"/>
        <v>379967.85324451944</v>
      </c>
      <c r="AT57" s="1975">
        <f t="shared" si="29"/>
        <v>633987.50187103578</v>
      </c>
      <c r="AU57" s="2024">
        <f t="shared" si="29"/>
        <v>682738.08842036489</v>
      </c>
      <c r="AV57" s="1967"/>
      <c r="AW57" s="3423" t="s">
        <v>132</v>
      </c>
      <c r="AX57" s="1975" t="s">
        <v>132</v>
      </c>
      <c r="AY57" s="1975" t="s">
        <v>132</v>
      </c>
      <c r="AZ57" s="2024" t="s">
        <v>132</v>
      </c>
      <c r="BA57" s="1975" t="s">
        <v>132</v>
      </c>
      <c r="BB57" s="1975" t="s">
        <v>132</v>
      </c>
      <c r="BC57" s="2025" t="s">
        <v>132</v>
      </c>
      <c r="BD57" s="2024">
        <f>BD25+BD55</f>
        <v>3163073.82</v>
      </c>
      <c r="BE57" s="2024">
        <f t="shared" ref="BE57:BQ57" si="30">BE25+BE55</f>
        <v>2925072.8467505686</v>
      </c>
      <c r="BF57" s="2024">
        <f t="shared" si="30"/>
        <v>2897928.1956567154</v>
      </c>
      <c r="BG57" s="2024">
        <f t="shared" si="30"/>
        <v>1513710.8802733573</v>
      </c>
      <c r="BH57" s="2024">
        <f t="shared" si="30"/>
        <v>689227.11540589656</v>
      </c>
      <c r="BI57" s="2024">
        <f t="shared" si="30"/>
        <v>3221468.2012196546</v>
      </c>
      <c r="BJ57" s="2024">
        <f t="shared" si="30"/>
        <v>3436622.8536411617</v>
      </c>
      <c r="BK57" s="2024">
        <f t="shared" si="30"/>
        <v>3133568</v>
      </c>
      <c r="BL57" s="2024">
        <f t="shared" si="30"/>
        <v>2898640.0837355047</v>
      </c>
      <c r="BM57" s="2024">
        <f t="shared" si="30"/>
        <v>2875290.13</v>
      </c>
      <c r="BN57" s="2024">
        <f t="shared" si="30"/>
        <v>1492008.452</v>
      </c>
      <c r="BO57" s="2024">
        <f t="shared" si="30"/>
        <v>669071.81629324669</v>
      </c>
      <c r="BP57" s="2024">
        <f t="shared" si="30"/>
        <v>3192029.6780511746</v>
      </c>
      <c r="BQ57" s="2024">
        <f t="shared" si="30"/>
        <v>3405066.0923972693</v>
      </c>
      <c r="BR57" s="1967"/>
      <c r="BS57" s="3423" t="s">
        <v>132</v>
      </c>
      <c r="BT57" s="1975" t="s">
        <v>132</v>
      </c>
      <c r="BU57" s="1975" t="s">
        <v>132</v>
      </c>
      <c r="BV57" s="2024" t="s">
        <v>132</v>
      </c>
      <c r="BW57" s="1975" t="s">
        <v>132</v>
      </c>
      <c r="BX57" s="1975" t="s">
        <v>132</v>
      </c>
      <c r="BY57" s="2025" t="s">
        <v>132</v>
      </c>
      <c r="BZ57" s="2024">
        <f>BZ55+BZ25</f>
        <v>2424009</v>
      </c>
      <c r="CA57" s="2024">
        <f>CA55+CA25</f>
        <v>2272751</v>
      </c>
      <c r="CB57" s="2024">
        <f t="shared" ref="CA57:CM57" si="31">CB55+CB25</f>
        <v>2078024.8404994213</v>
      </c>
      <c r="CC57" s="2024">
        <f t="shared" si="31"/>
        <v>1158970.5622016443</v>
      </c>
      <c r="CD57" s="2024">
        <f t="shared" si="31"/>
        <v>515072.62614572502</v>
      </c>
      <c r="CE57" s="2024">
        <f t="shared" si="31"/>
        <v>2003733.8876607171</v>
      </c>
      <c r="CF57" s="2024">
        <f t="shared" si="31"/>
        <v>2219504.3314255527</v>
      </c>
      <c r="CG57" s="2024">
        <f t="shared" si="31"/>
        <v>2408980</v>
      </c>
      <c r="CH57" s="2024">
        <f t="shared" si="31"/>
        <v>2257582</v>
      </c>
      <c r="CI57" s="2024">
        <f t="shared" si="31"/>
        <v>2064276.32</v>
      </c>
      <c r="CJ57" s="2024">
        <f t="shared" si="31"/>
        <v>1145979.8999999999</v>
      </c>
      <c r="CK57" s="2024">
        <f t="shared" si="31"/>
        <v>501898.53418050898</v>
      </c>
      <c r="CL57" s="2024">
        <f t="shared" si="31"/>
        <v>1983939.1763703893</v>
      </c>
      <c r="CM57" s="2024">
        <f t="shared" si="31"/>
        <v>2197055.7933801389</v>
      </c>
      <c r="CN57" s="2027"/>
      <c r="CO57" s="675"/>
      <c r="CP57" s="674"/>
      <c r="CQ57" s="675"/>
      <c r="CR57" s="998"/>
      <c r="CS57" s="1003"/>
      <c r="CT57" s="673"/>
      <c r="CU57" s="674"/>
      <c r="CV57" s="674"/>
      <c r="CW57" s="675"/>
      <c r="CX57" s="998"/>
      <c r="CY57" s="1003"/>
      <c r="CZ57" s="673"/>
      <c r="DA57" s="674"/>
      <c r="DB57" s="674"/>
      <c r="DC57" s="675"/>
      <c r="DD57" s="998"/>
      <c r="DE57" s="1899"/>
      <c r="DF57" s="1902"/>
    </row>
    <row r="58" spans="1:110">
      <c r="A58" s="1936"/>
      <c r="B58" s="1937"/>
      <c r="C58" s="3684" t="s">
        <v>561</v>
      </c>
      <c r="D58" s="2097" t="s">
        <v>562</v>
      </c>
      <c r="E58" s="3430" t="s">
        <v>132</v>
      </c>
      <c r="F58" s="488" t="s">
        <v>132</v>
      </c>
      <c r="G58" s="668" t="s">
        <v>132</v>
      </c>
      <c r="H58" s="488" t="s">
        <v>132</v>
      </c>
      <c r="I58" s="488" t="s">
        <v>132</v>
      </c>
      <c r="J58" s="492" t="s">
        <v>132</v>
      </c>
      <c r="K58" s="2007" t="s">
        <v>132</v>
      </c>
      <c r="L58" s="488">
        <v>72898</v>
      </c>
      <c r="M58" s="488">
        <v>68732</v>
      </c>
      <c r="N58" s="490">
        <v>61127.991340000008</v>
      </c>
      <c r="O58" s="3378">
        <v>28447.901699999999</v>
      </c>
      <c r="P58" s="488">
        <v>13918</v>
      </c>
      <c r="Q58" s="2009">
        <v>66899.315000000002</v>
      </c>
      <c r="R58" s="3429">
        <v>69166.687999999995</v>
      </c>
      <c r="S58" s="488">
        <f>L58</f>
        <v>72898</v>
      </c>
      <c r="T58" s="488">
        <v>68732</v>
      </c>
      <c r="U58" s="490">
        <v>61127.991340000008</v>
      </c>
      <c r="V58" s="488">
        <v>28447.901699999999</v>
      </c>
      <c r="W58" s="488">
        <v>13918</v>
      </c>
      <c r="X58" s="2009">
        <v>66899.315000000002</v>
      </c>
      <c r="Y58" s="2010">
        <v>69166.687999999995</v>
      </c>
      <c r="Z58" s="2011"/>
      <c r="AA58" s="488" t="s">
        <v>132</v>
      </c>
      <c r="AB58" s="488" t="s">
        <v>132</v>
      </c>
      <c r="AC58" s="668" t="s">
        <v>132</v>
      </c>
      <c r="AD58" s="488" t="s">
        <v>132</v>
      </c>
      <c r="AE58" s="488" t="s">
        <v>132</v>
      </c>
      <c r="AF58" s="492" t="s">
        <v>132</v>
      </c>
      <c r="AG58" s="2007" t="s">
        <v>132</v>
      </c>
      <c r="AH58" s="3161">
        <v>7792</v>
      </c>
      <c r="AI58" s="488">
        <v>7763</v>
      </c>
      <c r="AJ58" s="490">
        <v>7187</v>
      </c>
      <c r="AK58" s="3378">
        <v>5694.3891499999991</v>
      </c>
      <c r="AL58" s="488">
        <v>4793</v>
      </c>
      <c r="AM58" s="3379">
        <v>8189.1419999999998</v>
      </c>
      <c r="AN58" s="3429">
        <v>8524.2039999999997</v>
      </c>
      <c r="AO58" s="3163">
        <v>7792</v>
      </c>
      <c r="AP58" s="488">
        <v>7763</v>
      </c>
      <c r="AQ58" s="490">
        <v>7187</v>
      </c>
      <c r="AR58" s="488">
        <v>5694.3891499999991</v>
      </c>
      <c r="AS58" s="3378">
        <v>4793</v>
      </c>
      <c r="AT58" s="2009">
        <v>8189.1419999999998</v>
      </c>
      <c r="AU58" s="2010">
        <v>8524.2039999999997</v>
      </c>
      <c r="AV58" s="2011"/>
      <c r="AW58" s="488" t="s">
        <v>132</v>
      </c>
      <c r="AX58" s="488" t="s">
        <v>132</v>
      </c>
      <c r="AY58" s="668" t="s">
        <v>132</v>
      </c>
      <c r="AZ58" s="488" t="s">
        <v>132</v>
      </c>
      <c r="BA58" s="488" t="s">
        <v>132</v>
      </c>
      <c r="BB58" s="492" t="s">
        <v>132</v>
      </c>
      <c r="BC58" s="2007" t="s">
        <v>132</v>
      </c>
      <c r="BD58" s="492">
        <v>32044</v>
      </c>
      <c r="BE58" s="490">
        <v>29475</v>
      </c>
      <c r="BF58" s="490">
        <v>25873</v>
      </c>
      <c r="BG58" s="488">
        <v>9695.3030800000015</v>
      </c>
      <c r="BH58" s="488">
        <v>3239</v>
      </c>
      <c r="BI58" s="2009">
        <v>29303.802</v>
      </c>
      <c r="BJ58" s="2010">
        <v>29749.379000000001</v>
      </c>
      <c r="BK58" s="3163">
        <v>32044</v>
      </c>
      <c r="BL58" s="488">
        <v>29475</v>
      </c>
      <c r="BM58" s="490">
        <v>25873</v>
      </c>
      <c r="BN58" s="488">
        <v>9695.3030800000015</v>
      </c>
      <c r="BO58" s="488">
        <v>3239</v>
      </c>
      <c r="BP58" s="2009">
        <v>29303.802</v>
      </c>
      <c r="BQ58" s="2010">
        <v>29749.379000000001</v>
      </c>
      <c r="BR58" s="2011"/>
      <c r="BS58" s="488" t="s">
        <v>132</v>
      </c>
      <c r="BT58" s="488" t="s">
        <v>132</v>
      </c>
      <c r="BU58" s="668" t="s">
        <v>132</v>
      </c>
      <c r="BV58" s="488" t="s">
        <v>132</v>
      </c>
      <c r="BW58" s="488" t="s">
        <v>132</v>
      </c>
      <c r="BX58" s="492" t="s">
        <v>132</v>
      </c>
      <c r="BY58" s="2007" t="s">
        <v>132</v>
      </c>
      <c r="BZ58" s="490">
        <v>33062</v>
      </c>
      <c r="CA58" s="490">
        <v>31493</v>
      </c>
      <c r="CB58" s="490">
        <v>28068</v>
      </c>
      <c r="CC58" s="488">
        <v>13058.20947</v>
      </c>
      <c r="CD58" s="488">
        <v>5887</v>
      </c>
      <c r="CE58" s="2009">
        <v>29406.370999999999</v>
      </c>
      <c r="CF58" s="2010">
        <v>30893.105</v>
      </c>
      <c r="CG58" s="488">
        <v>33062</v>
      </c>
      <c r="CH58" s="488">
        <v>31493</v>
      </c>
      <c r="CI58" s="490">
        <v>28069</v>
      </c>
      <c r="CJ58" s="488">
        <v>13058.20947</v>
      </c>
      <c r="CK58" s="488">
        <v>5887</v>
      </c>
      <c r="CL58" s="2009">
        <v>29406.370999999999</v>
      </c>
      <c r="CM58" s="2010">
        <v>30893.105</v>
      </c>
      <c r="CN58" s="490"/>
      <c r="CO58" s="668"/>
      <c r="CP58" s="488"/>
      <c r="CQ58" s="488"/>
      <c r="CR58" s="984"/>
      <c r="CS58" s="994"/>
      <c r="CT58" s="490"/>
      <c r="CU58" s="668"/>
      <c r="CV58" s="488"/>
      <c r="CW58" s="488"/>
      <c r="CX58" s="984"/>
      <c r="CY58" s="994"/>
      <c r="CZ58" s="490"/>
      <c r="DA58" s="668"/>
      <c r="DB58" s="488"/>
      <c r="DC58" s="488"/>
      <c r="DD58" s="984"/>
      <c r="DE58" s="1005"/>
    </row>
    <row r="59" spans="1:110">
      <c r="A59" s="1936"/>
      <c r="B59" s="3355" t="s">
        <v>519</v>
      </c>
      <c r="C59" s="3685"/>
      <c r="D59" s="3417" t="s">
        <v>563</v>
      </c>
      <c r="E59" s="677" t="s">
        <v>132</v>
      </c>
      <c r="F59" s="143" t="s">
        <v>132</v>
      </c>
      <c r="G59" s="677" t="s">
        <v>132</v>
      </c>
      <c r="H59" s="143" t="s">
        <v>132</v>
      </c>
      <c r="I59" s="678" t="s">
        <v>132</v>
      </c>
      <c r="J59" s="143" t="s">
        <v>132</v>
      </c>
      <c r="K59" s="2034" t="s">
        <v>132</v>
      </c>
      <c r="L59" s="3344">
        <v>0.6</v>
      </c>
      <c r="M59" s="1952">
        <v>0.59</v>
      </c>
      <c r="N59" s="2035">
        <v>0.61950000000000005</v>
      </c>
      <c r="O59" s="1952">
        <v>1.2883</v>
      </c>
      <c r="P59" s="1952">
        <v>2.7046999999999999</v>
      </c>
      <c r="Q59" s="1952">
        <v>0.74187664614660243</v>
      </c>
      <c r="R59" s="1953">
        <v>0.69321222941560856</v>
      </c>
      <c r="S59" s="3344">
        <v>0.15</v>
      </c>
      <c r="T59" s="1952">
        <v>0.22</v>
      </c>
      <c r="U59" s="2035">
        <v>0.23480000000000001</v>
      </c>
      <c r="V59" s="1952">
        <v>0.49080000000000001</v>
      </c>
      <c r="W59" s="1952">
        <v>1.0271999999999999</v>
      </c>
      <c r="X59" s="1952">
        <v>0.22541689382885444</v>
      </c>
      <c r="Y59" s="1953">
        <v>0.21293056836234456</v>
      </c>
      <c r="Z59" s="2036"/>
      <c r="AA59" s="3344" t="s">
        <v>132</v>
      </c>
      <c r="AB59" s="143" t="s">
        <v>132</v>
      </c>
      <c r="AC59" s="677" t="s">
        <v>132</v>
      </c>
      <c r="AD59" s="143" t="s">
        <v>132</v>
      </c>
      <c r="AE59" s="678" t="s">
        <v>132</v>
      </c>
      <c r="AF59" s="143" t="s">
        <v>132</v>
      </c>
      <c r="AG59" s="2034" t="s">
        <v>132</v>
      </c>
      <c r="AH59" s="3162">
        <v>0.48</v>
      </c>
      <c r="AI59" s="1952">
        <v>0.43</v>
      </c>
      <c r="AJ59" s="2035">
        <v>0.46660000000000001</v>
      </c>
      <c r="AK59" s="1952">
        <v>0.54711178840415231</v>
      </c>
      <c r="AL59" s="1952">
        <v>0.74299999999999999</v>
      </c>
      <c r="AM59" s="1952">
        <v>0.90431048240840439</v>
      </c>
      <c r="AN59" s="1953">
        <v>0.88013569903451416</v>
      </c>
      <c r="AO59" s="3138">
        <v>0.22</v>
      </c>
      <c r="AP59" s="1952">
        <v>0.16</v>
      </c>
      <c r="AQ59" s="2035">
        <v>0.18190000000000001</v>
      </c>
      <c r="AR59" s="1952">
        <v>0.26429999999999998</v>
      </c>
      <c r="AS59" s="1952">
        <v>0.36770000000000003</v>
      </c>
      <c r="AT59" s="1952">
        <v>0.2994710419864407</v>
      </c>
      <c r="AU59" s="1953">
        <v>0.20244828233202777</v>
      </c>
      <c r="AV59" s="2036"/>
      <c r="AW59" s="143" t="s">
        <v>132</v>
      </c>
      <c r="AX59" s="143" t="s">
        <v>132</v>
      </c>
      <c r="AY59" s="677" t="s">
        <v>132</v>
      </c>
      <c r="AZ59" s="143" t="s">
        <v>132</v>
      </c>
      <c r="BA59" s="678" t="s">
        <v>132</v>
      </c>
      <c r="BB59" s="143" t="s">
        <v>132</v>
      </c>
      <c r="BC59" s="2034" t="s">
        <v>132</v>
      </c>
      <c r="BD59" s="143">
        <v>0.8</v>
      </c>
      <c r="BE59" s="2035">
        <v>0.84</v>
      </c>
      <c r="BF59" s="2035">
        <v>0.91080000000000005</v>
      </c>
      <c r="BG59" s="1952">
        <v>2.5139</v>
      </c>
      <c r="BH59" s="1952">
        <v>6.9147999999999996</v>
      </c>
      <c r="BI59" s="1952">
        <v>0.93384515818018632</v>
      </c>
      <c r="BJ59" s="1953">
        <v>0.95138209710113641</v>
      </c>
      <c r="BK59" s="3138">
        <v>0.2</v>
      </c>
      <c r="BL59" s="1952">
        <f>BL25/BL58</f>
        <v>0.28468193384223917</v>
      </c>
      <c r="BM59" s="1952">
        <f>BM25/BM58</f>
        <v>0.4479573300351718</v>
      </c>
      <c r="BN59" s="1952">
        <f>BN25/BN58</f>
        <v>1.0734063612171265</v>
      </c>
      <c r="BO59" s="1952">
        <f>BO25/BO58</f>
        <v>2.7727185645353627</v>
      </c>
      <c r="BP59" s="1952">
        <f>BP25/BP58</f>
        <v>0.3267874780919493</v>
      </c>
      <c r="BQ59" s="1952">
        <f>BQ25/BQ58</f>
        <v>0.32541796209009105</v>
      </c>
      <c r="BR59" s="2036"/>
      <c r="BS59" s="3344" t="s">
        <v>132</v>
      </c>
      <c r="BT59" s="143" t="s">
        <v>132</v>
      </c>
      <c r="BU59" s="677" t="s">
        <v>132</v>
      </c>
      <c r="BV59" s="143" t="s">
        <v>132</v>
      </c>
      <c r="BW59" s="678" t="s">
        <v>132</v>
      </c>
      <c r="BX59" s="143" t="s">
        <v>132</v>
      </c>
      <c r="BY59" s="2034" t="s">
        <v>132</v>
      </c>
      <c r="BZ59" s="3345">
        <v>0.37</v>
      </c>
      <c r="CA59" s="2035">
        <f>CA25/CA58</f>
        <v>0.35788905471057059</v>
      </c>
      <c r="CB59" s="1952">
        <f>CB25/CB58</f>
        <v>0.42221891475778234</v>
      </c>
      <c r="CC59" s="1952">
        <f>CC25/CC58</f>
        <v>0.80122487127205166</v>
      </c>
      <c r="CD59" s="1952">
        <f>CD25/CD58</f>
        <v>2.0449527265842975</v>
      </c>
      <c r="CE59" s="1952">
        <f>CE25/CE58</f>
        <v>0.52210400653687938</v>
      </c>
      <c r="CF59" s="1953">
        <f>CF25/CF58</f>
        <v>0.49759011530256292</v>
      </c>
      <c r="CG59" s="3346">
        <v>0.08</v>
      </c>
      <c r="CH59" s="1952">
        <f>CH25/CH58</f>
        <v>6.6681484774394312E-2</v>
      </c>
      <c r="CI59" s="1952">
        <f>CI25/CI58</f>
        <v>0.13345683850511239</v>
      </c>
      <c r="CJ59" s="1952">
        <f>CJ25/CJ58</f>
        <v>0.25707965611306738</v>
      </c>
      <c r="CK59" s="1952">
        <f>CK25/CK58</f>
        <v>0.70817245090021419</v>
      </c>
      <c r="CL59" s="1952">
        <f>CL25/CL58</f>
        <v>0.1416048927304637</v>
      </c>
      <c r="CM59" s="1952">
        <f>CM25/CM58</f>
        <v>0.10686879773237694</v>
      </c>
      <c r="CN59" s="1952" t="e">
        <f>CN25/CN58</f>
        <v>#DIV/0!</v>
      </c>
      <c r="CO59" s="1952" t="e">
        <f>CO25/CO58</f>
        <v>#DIV/0!</v>
      </c>
      <c r="CP59" s="1952" t="e">
        <f>CP25/CP58</f>
        <v>#DIV/0!</v>
      </c>
      <c r="CQ59" s="1952" t="e">
        <f>CQ25/CQ58</f>
        <v>#DIV/0!</v>
      </c>
      <c r="CR59" s="1952" t="e">
        <f>CR25/CR58</f>
        <v>#DIV/0!</v>
      </c>
      <c r="CS59" s="1952" t="e">
        <f>CS25/CS58</f>
        <v>#DIV/0!</v>
      </c>
      <c r="CT59" s="1952" t="e">
        <f>CT25/CT58</f>
        <v>#DIV/0!</v>
      </c>
      <c r="CU59" s="1952" t="e">
        <f>CU25/CU58</f>
        <v>#DIV/0!</v>
      </c>
      <c r="CV59" s="1952" t="e">
        <f>CV25/CV58</f>
        <v>#DIV/0!</v>
      </c>
      <c r="CW59" s="1952" t="e">
        <f>CW25/CW58</f>
        <v>#DIV/0!</v>
      </c>
      <c r="CX59" s="1952" t="e">
        <f>CX25/CX58</f>
        <v>#DIV/0!</v>
      </c>
      <c r="CY59" s="1952" t="e">
        <f>CY25/CY58</f>
        <v>#DIV/0!</v>
      </c>
      <c r="CZ59" s="1952" t="e">
        <f>CZ25/CZ58</f>
        <v>#DIV/0!</v>
      </c>
      <c r="DA59" s="1952" t="e">
        <f>DA25/DA58</f>
        <v>#DIV/0!</v>
      </c>
      <c r="DB59" s="1952" t="e">
        <f>DB25/DB58</f>
        <v>#DIV/0!</v>
      </c>
      <c r="DC59" s="1952" t="e">
        <f>DC25/DC58</f>
        <v>#DIV/0!</v>
      </c>
      <c r="DD59" s="1952" t="e">
        <f>DD25/DD58</f>
        <v>#DIV/0!</v>
      </c>
      <c r="DE59" s="3138" t="e">
        <f>DE25/DE58</f>
        <v>#DIV/0!</v>
      </c>
      <c r="DF59" s="1901"/>
    </row>
    <row r="60" spans="1:110" ht="14.45" thickBot="1">
      <c r="A60" s="1936"/>
      <c r="B60" s="3355" t="s">
        <v>564</v>
      </c>
      <c r="C60" s="3685"/>
      <c r="D60" s="3418" t="s">
        <v>565</v>
      </c>
      <c r="E60" s="679" t="s">
        <v>132</v>
      </c>
      <c r="F60" s="680" t="s">
        <v>132</v>
      </c>
      <c r="G60" s="3401" t="s">
        <v>132</v>
      </c>
      <c r="H60" s="3401" t="s">
        <v>132</v>
      </c>
      <c r="I60" s="3403" t="s">
        <v>132</v>
      </c>
      <c r="J60" s="3401" t="s">
        <v>132</v>
      </c>
      <c r="K60" s="3404" t="s">
        <v>132</v>
      </c>
      <c r="L60" s="3411">
        <v>85.9</v>
      </c>
      <c r="M60" s="3398">
        <v>89.88</v>
      </c>
      <c r="N60" s="3405">
        <v>90.394099999999995</v>
      </c>
      <c r="O60" s="3398">
        <v>111.18260152119815</v>
      </c>
      <c r="P60" s="3398">
        <v>113.88849999999999</v>
      </c>
      <c r="Q60" s="3398">
        <v>93.868889898112457</v>
      </c>
      <c r="R60" s="3399">
        <v>91.741454590044697</v>
      </c>
      <c r="S60" s="3411">
        <v>85.4</v>
      </c>
      <c r="T60" s="3398">
        <v>89.25</v>
      </c>
      <c r="U60" s="3405">
        <v>89.747799999999998</v>
      </c>
      <c r="V60" s="3398">
        <v>109.36542838194018</v>
      </c>
      <c r="W60" s="3398">
        <v>111.2445</v>
      </c>
      <c r="X60" s="3398">
        <v>93.017895962867328</v>
      </c>
      <c r="Y60" s="3399">
        <v>90.526360354920172</v>
      </c>
      <c r="Z60" s="2036"/>
      <c r="AA60" s="3407" t="s">
        <v>132</v>
      </c>
      <c r="AB60" s="3401" t="s">
        <v>132</v>
      </c>
      <c r="AC60" s="3402" t="s">
        <v>132</v>
      </c>
      <c r="AD60" s="3401" t="s">
        <v>132</v>
      </c>
      <c r="AE60" s="3403" t="s">
        <v>132</v>
      </c>
      <c r="AF60" s="3401" t="s">
        <v>132</v>
      </c>
      <c r="AG60" s="3404" t="s">
        <v>132</v>
      </c>
      <c r="AH60" s="3410">
        <v>90.8</v>
      </c>
      <c r="AI60" s="3398">
        <v>74.400000000000006</v>
      </c>
      <c r="AJ60" s="3405">
        <v>77.031999999999996</v>
      </c>
      <c r="AK60" s="3398">
        <v>86.546599999999998</v>
      </c>
      <c r="AL60" s="3398">
        <v>79.708500000000001</v>
      </c>
      <c r="AM60" s="3398">
        <v>82.213052525331989</v>
      </c>
      <c r="AN60" s="3399">
        <v>81.129905733912878</v>
      </c>
      <c r="AO60" s="3406">
        <v>90.38</v>
      </c>
      <c r="AP60" s="3398">
        <v>73.95</v>
      </c>
      <c r="AQ60" s="3405">
        <v>76.598500000000001</v>
      </c>
      <c r="AR60" s="3398">
        <v>85.981300000000005</v>
      </c>
      <c r="AS60" s="3398">
        <v>78.985399999999998</v>
      </c>
      <c r="AT60" s="3398">
        <v>81.290575598171131</v>
      </c>
      <c r="AU60" s="3399">
        <v>80.094081603526647</v>
      </c>
      <c r="AV60" s="2036"/>
      <c r="AW60" s="3400" t="s">
        <v>132</v>
      </c>
      <c r="AX60" s="3401" t="s">
        <v>132</v>
      </c>
      <c r="AY60" s="3402" t="s">
        <v>132</v>
      </c>
      <c r="AZ60" s="3401" t="s">
        <v>132</v>
      </c>
      <c r="BA60" s="3403" t="s">
        <v>132</v>
      </c>
      <c r="BB60" s="3401" t="s">
        <v>132</v>
      </c>
      <c r="BC60" s="3404" t="s">
        <v>132</v>
      </c>
      <c r="BD60" s="3401">
        <v>98.5</v>
      </c>
      <c r="BE60" s="3398">
        <v>109.38</v>
      </c>
      <c r="BF60" s="3405">
        <v>111.8785</v>
      </c>
      <c r="BG60" s="3398">
        <v>155.9624418488655</v>
      </c>
      <c r="BH60" s="3398">
        <v>212.62790000000001</v>
      </c>
      <c r="BI60" s="3398">
        <v>116.0874443727246</v>
      </c>
      <c r="BJ60" s="3399">
        <v>115.51914591700084</v>
      </c>
      <c r="BK60" s="3406">
        <v>97.52</v>
      </c>
      <c r="BL60" s="3398">
        <v>108.54</v>
      </c>
      <c r="BM60" s="3405">
        <v>111.00360000000001</v>
      </c>
      <c r="BN60" s="3398">
        <v>153.83449999999999</v>
      </c>
      <c r="BO60" s="3398">
        <v>206.4042</v>
      </c>
      <c r="BP60" s="3398">
        <v>115.07826896067638</v>
      </c>
      <c r="BQ60" s="3399">
        <v>114.45839230450048</v>
      </c>
      <c r="BR60" s="2036"/>
      <c r="BS60" s="3407" t="s">
        <v>132</v>
      </c>
      <c r="BT60" s="3401" t="s">
        <v>132</v>
      </c>
      <c r="BU60" s="3402" t="s">
        <v>132</v>
      </c>
      <c r="BV60" s="3401" t="s">
        <v>132</v>
      </c>
      <c r="BW60" s="3403" t="s">
        <v>132</v>
      </c>
      <c r="BX60" s="3401" t="s">
        <v>132</v>
      </c>
      <c r="BY60" s="3404" t="s">
        <v>132</v>
      </c>
      <c r="BZ60" s="3408">
        <v>73</v>
      </c>
      <c r="CA60" s="3405">
        <v>75.34</v>
      </c>
      <c r="CB60" s="3405">
        <v>73.983599999999996</v>
      </c>
      <c r="CC60" s="3398">
        <v>88.660308857310142</v>
      </c>
      <c r="CD60" s="3398">
        <v>87.368799999999993</v>
      </c>
      <c r="CE60" s="3398">
        <v>74.894247250907057</v>
      </c>
      <c r="CF60" s="3399">
        <v>71.844650494845141</v>
      </c>
      <c r="CG60" s="3409">
        <v>72.599999999999994</v>
      </c>
      <c r="CH60" s="3398">
        <v>74.87</v>
      </c>
      <c r="CI60" s="3405">
        <v>73.493799999999993</v>
      </c>
      <c r="CJ60" s="3398">
        <v>87.665522692819863</v>
      </c>
      <c r="CK60" s="3398">
        <v>85.130899999999997</v>
      </c>
      <c r="CL60" s="3398">
        <v>74.221103621918374</v>
      </c>
      <c r="CM60" s="3399">
        <v>71.117998445936038</v>
      </c>
      <c r="CN60" s="679"/>
      <c r="CO60" s="679"/>
      <c r="CP60" s="680"/>
      <c r="CQ60" s="681"/>
      <c r="CR60" s="984"/>
      <c r="CS60" s="994"/>
      <c r="CT60" s="679"/>
      <c r="CU60" s="679"/>
      <c r="CV60" s="680"/>
      <c r="CW60" s="681"/>
      <c r="CX60" s="984"/>
      <c r="CY60" s="994"/>
      <c r="CZ60" s="679"/>
      <c r="DA60" s="679"/>
      <c r="DB60" s="680"/>
      <c r="DC60" s="681"/>
      <c r="DD60" s="984"/>
      <c r="DE60" s="1005"/>
    </row>
    <row r="61" spans="1:110" ht="14.45" thickTop="1">
      <c r="B61" s="3397"/>
      <c r="C61" s="2037"/>
      <c r="D61" s="2037"/>
      <c r="E61" s="2037"/>
      <c r="F61" s="2037"/>
      <c r="I61" s="2038"/>
    </row>
    <row r="62" spans="1:110">
      <c r="I62" s="2038"/>
    </row>
    <row r="63" spans="1:110">
      <c r="I63" s="2038"/>
    </row>
    <row r="64" spans="1:110">
      <c r="I64" s="2038"/>
    </row>
  </sheetData>
  <mergeCells count="45">
    <mergeCell ref="BK4:BQ4"/>
    <mergeCell ref="BS4:BY4"/>
    <mergeCell ref="BS3:CM3"/>
    <mergeCell ref="BZ4:CF4"/>
    <mergeCell ref="CG4:CM4"/>
    <mergeCell ref="C30:C32"/>
    <mergeCell ref="B29:B56"/>
    <mergeCell ref="B24:B28"/>
    <mergeCell ref="C58:C60"/>
    <mergeCell ref="C57:D57"/>
    <mergeCell ref="C35:C36"/>
    <mergeCell ref="C55:D55"/>
    <mergeCell ref="C33:C34"/>
    <mergeCell ref="C37:C38"/>
    <mergeCell ref="C52:C54"/>
    <mergeCell ref="C39:C51"/>
    <mergeCell ref="C26:C27"/>
    <mergeCell ref="C28:D28"/>
    <mergeCell ref="E4:K4"/>
    <mergeCell ref="L4:R4"/>
    <mergeCell ref="S4:Y4"/>
    <mergeCell ref="C18:C19"/>
    <mergeCell ref="AO4:AU4"/>
    <mergeCell ref="AW4:BC4"/>
    <mergeCell ref="BD4:BJ4"/>
    <mergeCell ref="C24:D24"/>
    <mergeCell ref="C25:D25"/>
    <mergeCell ref="AA4:AG4"/>
    <mergeCell ref="AH4:AN4"/>
    <mergeCell ref="CN3:DE3"/>
    <mergeCell ref="E3:Y3"/>
    <mergeCell ref="AA3:AU3"/>
    <mergeCell ref="AW3:BQ3"/>
    <mergeCell ref="B21:B23"/>
    <mergeCell ref="C23:D23"/>
    <mergeCell ref="B4:B5"/>
    <mergeCell ref="C4:C5"/>
    <mergeCell ref="D4:D5"/>
    <mergeCell ref="CZ4:DE4"/>
    <mergeCell ref="B6:B20"/>
    <mergeCell ref="C6:C13"/>
    <mergeCell ref="C14:C17"/>
    <mergeCell ref="C20:D20"/>
    <mergeCell ref="CN4:CS4"/>
    <mergeCell ref="CT4:CY4"/>
  </mergeCells>
  <phoneticPr fontId="16" type="noConversion"/>
  <pageMargins left="0.25" right="0.25" top="0.75" bottom="0.75" header="0.3" footer="0.3"/>
  <pageSetup paperSize="8" orientation="landscape" r:id="rId1"/>
  <headerFooter>
    <oddFooter>&amp;C_x000D_&amp;1#&amp;"Calibri"&amp;10&amp;K000000 C2 - Internal</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D3B8F-A283-49AE-AF4D-BEDFF68BC93A}">
  <sheetPr codeName="Sheet15">
    <tabColor theme="0"/>
  </sheetPr>
  <dimension ref="A1:P24"/>
  <sheetViews>
    <sheetView showGridLines="0" zoomScaleNormal="100" workbookViewId="0">
      <pane xSplit="2" topLeftCell="C1" activePane="topRight" state="frozen"/>
      <selection pane="topRight" activeCell="F16" sqref="F16"/>
    </sheetView>
  </sheetViews>
  <sheetFormatPr defaultColWidth="8.85546875" defaultRowHeight="13.9"/>
  <cols>
    <col min="1" max="1" width="4.7109375" style="8" customWidth="1"/>
    <col min="2" max="2" width="61" style="9" customWidth="1"/>
    <col min="3" max="4" width="13" style="8" customWidth="1"/>
    <col min="5" max="9" width="13" style="9" customWidth="1"/>
    <col min="10" max="15" width="13" style="8" hidden="1" customWidth="1"/>
    <col min="16" max="16" width="11.5703125" style="8" hidden="1" customWidth="1"/>
    <col min="17" max="16384" width="8.85546875" style="8"/>
  </cols>
  <sheetData>
    <row r="1" spans="1:16" ht="17.649999999999999" customHeight="1">
      <c r="A1" s="3722" t="s">
        <v>566</v>
      </c>
      <c r="B1" s="3722"/>
      <c r="E1" s="11"/>
      <c r="F1" s="11"/>
      <c r="G1" s="11"/>
      <c r="H1" s="11"/>
      <c r="I1" s="738"/>
    </row>
    <row r="2" spans="1:16" ht="17.649999999999999" customHeight="1">
      <c r="A2" s="3723" t="s">
        <v>567</v>
      </c>
      <c r="B2" s="3723"/>
      <c r="D2" s="12"/>
      <c r="E2" s="11"/>
      <c r="F2" s="11"/>
      <c r="G2" s="11"/>
      <c r="H2" s="11"/>
      <c r="I2" s="739"/>
    </row>
    <row r="3" spans="1:16" ht="14.45" thickBot="1">
      <c r="J3" s="741"/>
      <c r="K3" s="741"/>
      <c r="L3" s="741"/>
      <c r="M3" s="741"/>
      <c r="N3" s="741"/>
      <c r="O3" s="741"/>
      <c r="P3" s="741"/>
    </row>
    <row r="4" spans="1:16" s="6" customFormat="1" ht="15" customHeight="1" thickTop="1">
      <c r="A4" s="1568"/>
      <c r="B4" s="1566"/>
      <c r="C4" s="3724" t="s">
        <v>183</v>
      </c>
      <c r="D4" s="3725"/>
      <c r="E4" s="3725"/>
      <c r="F4" s="3725"/>
      <c r="G4" s="3725"/>
      <c r="H4" s="3725"/>
      <c r="I4" s="3726"/>
      <c r="J4" s="3719" t="s">
        <v>282</v>
      </c>
      <c r="K4" s="3720"/>
      <c r="L4" s="3720"/>
      <c r="M4" s="3720"/>
      <c r="N4" s="3720"/>
      <c r="O4" s="3720"/>
      <c r="P4" s="3721"/>
    </row>
    <row r="5" spans="1:16" s="6" customFormat="1" ht="15.75" customHeight="1" thickBot="1">
      <c r="A5" s="1568"/>
      <c r="B5" s="1567"/>
      <c r="C5" s="1908" t="s">
        <v>12</v>
      </c>
      <c r="D5" s="1909" t="s">
        <v>13</v>
      </c>
      <c r="E5" s="1910" t="s">
        <v>14</v>
      </c>
      <c r="F5" s="1910" t="s">
        <v>15</v>
      </c>
      <c r="G5" s="1910" t="s">
        <v>16</v>
      </c>
      <c r="H5" s="2054" t="s">
        <v>163</v>
      </c>
      <c r="I5" s="1911" t="s">
        <v>164</v>
      </c>
      <c r="J5" s="1908" t="s">
        <v>12</v>
      </c>
      <c r="K5" s="1909" t="s">
        <v>13</v>
      </c>
      <c r="L5" s="1910" t="s">
        <v>14</v>
      </c>
      <c r="M5" s="1910" t="s">
        <v>15</v>
      </c>
      <c r="N5" s="1910" t="s">
        <v>16</v>
      </c>
      <c r="O5" s="3108" t="s">
        <v>163</v>
      </c>
      <c r="P5" s="1911" t="s">
        <v>164</v>
      </c>
    </row>
    <row r="6" spans="1:16" s="6" customFormat="1" ht="25.9" customHeight="1" thickTop="1">
      <c r="A6" s="1912"/>
      <c r="B6" s="1903" t="s">
        <v>568</v>
      </c>
      <c r="C6" s="1546">
        <v>208525600</v>
      </c>
      <c r="D6" s="1545">
        <v>210406900</v>
      </c>
      <c r="E6" s="1546">
        <v>181314564</v>
      </c>
      <c r="F6" s="1546">
        <v>178574586</v>
      </c>
      <c r="G6" s="2055">
        <v>195789016</v>
      </c>
      <c r="H6" s="2055">
        <v>192963827</v>
      </c>
      <c r="I6" s="1547">
        <v>202031852</v>
      </c>
      <c r="J6" s="3109"/>
      <c r="K6" s="3110"/>
      <c r="L6" s="3109"/>
      <c r="M6" s="2806"/>
      <c r="N6" s="2807"/>
      <c r="O6" s="2820"/>
      <c r="P6" s="3111"/>
    </row>
    <row r="7" spans="1:16" s="6" customFormat="1" ht="26.45">
      <c r="A7" s="1912"/>
      <c r="B7" s="1904" t="s">
        <v>569</v>
      </c>
      <c r="C7" s="1549">
        <v>9752</v>
      </c>
      <c r="D7" s="1548">
        <v>9806</v>
      </c>
      <c r="E7" s="1549">
        <v>11905</v>
      </c>
      <c r="F7" s="1549">
        <v>11524</v>
      </c>
      <c r="G7" s="1549">
        <v>11463</v>
      </c>
      <c r="H7" s="1549">
        <v>7528</v>
      </c>
      <c r="I7" s="1550">
        <v>10521</v>
      </c>
      <c r="J7" s="3112"/>
      <c r="K7" s="3113"/>
      <c r="L7" s="3112"/>
      <c r="M7" s="2808"/>
      <c r="N7" s="2810"/>
      <c r="O7" s="2809"/>
      <c r="P7" s="3114"/>
    </row>
    <row r="8" spans="1:16" s="6" customFormat="1" ht="26.45">
      <c r="A8" s="1912"/>
      <c r="B8" s="1904" t="s">
        <v>570</v>
      </c>
      <c r="C8" s="1549">
        <v>4665</v>
      </c>
      <c r="D8" s="1548">
        <v>5523</v>
      </c>
      <c r="E8" s="1549">
        <v>2322</v>
      </c>
      <c r="F8" s="1549">
        <v>2141</v>
      </c>
      <c r="G8" s="1549">
        <v>3018</v>
      </c>
      <c r="H8" s="1549">
        <v>3703</v>
      </c>
      <c r="I8" s="1550">
        <v>4307</v>
      </c>
      <c r="J8" s="3112"/>
      <c r="K8" s="3113"/>
      <c r="L8" s="3112"/>
      <c r="M8" s="2808"/>
      <c r="N8" s="2810"/>
      <c r="O8" s="2809"/>
      <c r="P8" s="3114"/>
    </row>
    <row r="9" spans="1:16" s="6" customFormat="1" ht="39.6">
      <c r="A9" s="1912"/>
      <c r="B9" s="1904" t="s">
        <v>571</v>
      </c>
      <c r="C9" s="1549">
        <v>97.6</v>
      </c>
      <c r="D9" s="1548">
        <v>89.872298676272322</v>
      </c>
      <c r="E9" s="1549">
        <v>7</v>
      </c>
      <c r="F9" s="1549">
        <v>58</v>
      </c>
      <c r="G9" s="1549">
        <v>109</v>
      </c>
      <c r="H9" s="1549">
        <v>142</v>
      </c>
      <c r="I9" s="1550">
        <v>155</v>
      </c>
      <c r="J9" s="3112"/>
      <c r="K9" s="3113"/>
      <c r="L9" s="3112"/>
      <c r="M9" s="2808"/>
      <c r="N9" s="2810"/>
      <c r="O9" s="2809"/>
      <c r="P9" s="3114"/>
    </row>
    <row r="10" spans="1:16" s="6" customFormat="1" ht="26.45">
      <c r="A10" s="1912"/>
      <c r="B10" s="1904" t="s">
        <v>572</v>
      </c>
      <c r="C10" s="1553">
        <v>33224.961802192862</v>
      </c>
      <c r="D10" s="1548">
        <v>34624</v>
      </c>
      <c r="E10" s="1549">
        <v>25074</v>
      </c>
      <c r="F10" s="1549">
        <v>22737</v>
      </c>
      <c r="G10" s="1549">
        <v>23564</v>
      </c>
      <c r="H10" s="1549">
        <v>25329</v>
      </c>
      <c r="I10" s="1550">
        <v>26327</v>
      </c>
      <c r="J10" s="3115"/>
      <c r="K10" s="3113"/>
      <c r="L10" s="3115"/>
      <c r="M10" s="2827"/>
      <c r="N10" s="2813"/>
      <c r="O10" s="2810"/>
      <c r="P10" s="3114"/>
    </row>
    <row r="11" spans="1:16" s="6" customFormat="1" ht="27" thickBot="1">
      <c r="A11" s="1912"/>
      <c r="B11" s="3372" t="s">
        <v>573</v>
      </c>
      <c r="C11" s="2316">
        <v>5</v>
      </c>
      <c r="D11" s="1548">
        <v>73.66</v>
      </c>
      <c r="E11" s="1561">
        <v>59</v>
      </c>
      <c r="F11" s="1549">
        <v>49</v>
      </c>
      <c r="G11" s="1549">
        <v>52</v>
      </c>
      <c r="H11" s="1549">
        <v>29</v>
      </c>
      <c r="I11" s="2805">
        <v>78</v>
      </c>
      <c r="J11" s="3188"/>
      <c r="K11" s="3116"/>
      <c r="L11" s="3112"/>
      <c r="M11" s="2808"/>
      <c r="N11" s="2809"/>
      <c r="O11" s="2828"/>
      <c r="P11" s="3117"/>
    </row>
    <row r="12" spans="1:16" s="210" customFormat="1" ht="26.45">
      <c r="A12" s="1912"/>
      <c r="B12" s="3370" t="s">
        <v>574</v>
      </c>
      <c r="C12" s="3371">
        <v>47739</v>
      </c>
      <c r="D12" s="1554">
        <v>50043</v>
      </c>
      <c r="E12" s="1555">
        <v>39309</v>
      </c>
      <c r="F12" s="1555">
        <v>36460</v>
      </c>
      <c r="G12" s="1555">
        <v>38155</v>
      </c>
      <c r="H12" s="1555">
        <v>39051</v>
      </c>
      <c r="I12" s="3373">
        <v>41310</v>
      </c>
      <c r="J12" s="3118"/>
      <c r="K12" s="3119"/>
      <c r="L12" s="3118"/>
      <c r="M12" s="2814"/>
      <c r="N12" s="2815"/>
      <c r="O12" s="2821"/>
      <c r="P12" s="3120"/>
    </row>
    <row r="13" spans="1:16" s="210" customFormat="1" ht="27" thickBot="1">
      <c r="A13" s="1912"/>
      <c r="B13" s="1906" t="s">
        <v>575</v>
      </c>
      <c r="C13" s="1557">
        <v>14520</v>
      </c>
      <c r="D13" s="1556">
        <v>15492</v>
      </c>
      <c r="E13" s="1557">
        <v>14293</v>
      </c>
      <c r="F13" s="1557">
        <v>13772</v>
      </c>
      <c r="G13" s="1557">
        <v>14642</v>
      </c>
      <c r="H13" s="1557">
        <v>13751</v>
      </c>
      <c r="I13" s="1558">
        <v>10753</v>
      </c>
      <c r="J13" s="3121"/>
      <c r="K13" s="3122"/>
      <c r="L13" s="3121"/>
      <c r="M13" s="2816"/>
      <c r="N13" s="2825"/>
      <c r="O13" s="2822"/>
      <c r="P13" s="3123"/>
    </row>
    <row r="14" spans="1:16" s="6" customFormat="1" ht="26.45">
      <c r="A14" s="1912"/>
      <c r="B14" s="1907" t="s">
        <v>576</v>
      </c>
      <c r="C14" s="1546">
        <v>69166.687999999995</v>
      </c>
      <c r="D14" s="1545">
        <v>66899</v>
      </c>
      <c r="E14" s="1546">
        <v>12013</v>
      </c>
      <c r="F14" s="1546">
        <v>28448</v>
      </c>
      <c r="G14" s="1546">
        <v>61128</v>
      </c>
      <c r="H14" s="1546">
        <v>68636</v>
      </c>
      <c r="I14" s="1547">
        <v>72898</v>
      </c>
      <c r="J14" s="3124"/>
      <c r="K14" s="3124"/>
      <c r="L14" s="3124"/>
      <c r="M14" s="2806"/>
      <c r="N14" s="2817"/>
      <c r="O14" s="2823"/>
      <c r="P14" s="3125"/>
    </row>
    <row r="15" spans="1:16" s="6" customFormat="1" ht="26.45">
      <c r="A15" s="1912"/>
      <c r="B15" s="1904" t="s">
        <v>577</v>
      </c>
      <c r="C15" s="3102">
        <v>0.69</v>
      </c>
      <c r="D15" s="3103">
        <v>0.75</v>
      </c>
      <c r="E15" s="3102">
        <v>3.27</v>
      </c>
      <c r="F15" s="3102">
        <v>1.2</v>
      </c>
      <c r="G15" s="3102">
        <v>0.6</v>
      </c>
      <c r="H15" s="3102">
        <v>0.56000000000000005</v>
      </c>
      <c r="I15" s="3104">
        <v>0.56999999999999995</v>
      </c>
      <c r="J15" s="3126"/>
      <c r="K15" s="3127"/>
      <c r="L15" s="3126"/>
      <c r="M15" s="2818"/>
      <c r="N15" s="2826"/>
      <c r="O15" s="2824"/>
      <c r="P15" s="3128"/>
    </row>
    <row r="16" spans="1:16" s="6" customFormat="1" ht="26.45">
      <c r="A16" s="1912"/>
      <c r="B16" s="1904" t="s">
        <v>578</v>
      </c>
      <c r="C16" s="3102">
        <v>0.21</v>
      </c>
      <c r="D16" s="3103">
        <v>0.23</v>
      </c>
      <c r="E16" s="3102">
        <v>1.19</v>
      </c>
      <c r="F16" s="3102">
        <v>0.4</v>
      </c>
      <c r="G16" s="3102">
        <v>0.2</v>
      </c>
      <c r="H16" s="3102">
        <v>0.16</v>
      </c>
      <c r="I16" s="3104">
        <v>0.15</v>
      </c>
      <c r="J16" s="3126"/>
      <c r="K16" s="3127"/>
      <c r="L16" s="3126"/>
      <c r="M16" s="2818"/>
      <c r="N16" s="2826"/>
      <c r="O16" s="2824"/>
      <c r="P16" s="3128"/>
    </row>
    <row r="17" spans="1:16" s="6" customFormat="1" ht="27" thickBot="1">
      <c r="A17" s="1912"/>
      <c r="B17" s="1905" t="s">
        <v>579</v>
      </c>
      <c r="C17" s="1552">
        <v>14520</v>
      </c>
      <c r="D17" s="1551">
        <v>15439</v>
      </c>
      <c r="E17" s="1552">
        <v>14288</v>
      </c>
      <c r="F17" s="1552">
        <v>12132</v>
      </c>
      <c r="G17" s="1552">
        <v>14642</v>
      </c>
      <c r="H17" s="1552">
        <v>11402</v>
      </c>
      <c r="I17" s="3369">
        <v>10753</v>
      </c>
      <c r="J17" s="3129"/>
      <c r="K17" s="3130"/>
      <c r="L17" s="3129"/>
      <c r="M17" s="2811"/>
      <c r="N17" s="2819"/>
      <c r="O17" s="2812"/>
      <c r="P17" s="3131"/>
    </row>
    <row r="18" spans="1:16" s="6" customFormat="1" ht="13.15">
      <c r="B18" s="14"/>
      <c r="E18" s="14"/>
      <c r="F18" s="14"/>
      <c r="G18" s="14"/>
      <c r="H18" s="14"/>
      <c r="I18" s="14"/>
    </row>
    <row r="19" spans="1:16" s="6" customFormat="1" ht="92.45">
      <c r="B19" s="2306" t="s">
        <v>580</v>
      </c>
      <c r="C19" s="13"/>
      <c r="D19" s="1544"/>
      <c r="E19" s="1544"/>
      <c r="F19" s="1544"/>
      <c r="G19" s="1544"/>
      <c r="H19" s="1544"/>
      <c r="I19" s="1544"/>
    </row>
    <row r="20" spans="1:16" s="6" customFormat="1" ht="79.150000000000006">
      <c r="B20" s="2306" t="s">
        <v>581</v>
      </c>
      <c r="C20" s="13"/>
      <c r="D20" s="1544"/>
      <c r="E20" s="1544"/>
      <c r="F20" s="1544"/>
      <c r="G20" s="1544"/>
      <c r="H20" s="1544"/>
    </row>
    <row r="21" spans="1:16" s="6" customFormat="1" ht="39.6">
      <c r="B21" s="2306" t="s">
        <v>582</v>
      </c>
      <c r="C21" s="13"/>
      <c r="D21" s="1544"/>
      <c r="E21" s="1544"/>
      <c r="F21" s="1544"/>
      <c r="G21" s="1544"/>
      <c r="H21" s="1544"/>
    </row>
    <row r="22" spans="1:16" ht="66">
      <c r="B22" s="2306" t="s">
        <v>583</v>
      </c>
      <c r="D22" s="1544"/>
      <c r="E22" s="1544"/>
      <c r="F22" s="1544"/>
      <c r="G22" s="1544"/>
      <c r="H22" s="1544"/>
      <c r="I22" s="1544"/>
    </row>
    <row r="23" spans="1:16" ht="66">
      <c r="B23" s="2306" t="s">
        <v>584</v>
      </c>
      <c r="D23" s="1544"/>
      <c r="E23" s="1544"/>
      <c r="F23" s="1544"/>
      <c r="G23" s="1544"/>
      <c r="H23" s="3178"/>
      <c r="I23" s="3177"/>
    </row>
    <row r="24" spans="1:16" ht="39.6">
      <c r="B24" s="2306" t="s">
        <v>585</v>
      </c>
      <c r="D24" s="1544"/>
      <c r="E24" s="1544"/>
      <c r="F24" s="1544"/>
      <c r="G24" s="1544"/>
      <c r="H24" s="1544"/>
      <c r="I24" s="1544"/>
    </row>
  </sheetData>
  <mergeCells count="4">
    <mergeCell ref="J4:P4"/>
    <mergeCell ref="A1:B1"/>
    <mergeCell ref="A2:B2"/>
    <mergeCell ref="C4:I4"/>
  </mergeCells>
  <pageMargins left="0.25" right="0.25" top="0.75" bottom="0.75" header="0.3" footer="0.3"/>
  <pageSetup paperSize="8" orientation="landscape" r:id="rId1"/>
  <headerFooter>
    <oddFooter>&amp;C_x000D_&amp;1#&amp;"Calibri"&amp;10&amp;K000000 C2 - Internal</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65F64-C3DA-416D-83DC-4096D5BA420D}">
  <sheetPr>
    <tabColor theme="0"/>
  </sheetPr>
  <dimension ref="A1:AI21"/>
  <sheetViews>
    <sheetView workbookViewId="0">
      <pane xSplit="1" topLeftCell="T1" activePane="topRight" state="frozen"/>
      <selection pane="topRight" sqref="A1:B1"/>
    </sheetView>
  </sheetViews>
  <sheetFormatPr defaultRowHeight="14.45"/>
  <cols>
    <col min="1" max="1" width="34.28515625" customWidth="1"/>
    <col min="2" max="2" width="10.28515625" bestFit="1" customWidth="1"/>
    <col min="3" max="5" width="11.42578125" bestFit="1" customWidth="1"/>
    <col min="6" max="6" width="10.28515625" bestFit="1" customWidth="1"/>
    <col min="7" max="9" width="11.42578125" bestFit="1" customWidth="1"/>
    <col min="10" max="10" width="9.28515625" bestFit="1" customWidth="1"/>
    <col min="11" max="13" width="10.28515625" bestFit="1" customWidth="1"/>
    <col min="14" max="14" width="9.140625" bestFit="1" customWidth="1"/>
    <col min="15" max="17" width="10.28515625" bestFit="1" customWidth="1"/>
    <col min="18" max="22" width="11.140625" customWidth="1"/>
    <col min="23" max="25" width="11.42578125" bestFit="1" customWidth="1"/>
    <col min="26" max="26" width="11.140625" customWidth="1"/>
    <col min="27" max="29" width="11.42578125" bestFit="1" customWidth="1"/>
  </cols>
  <sheetData>
    <row r="1" spans="1:35" s="767" customFormat="1" ht="17.45">
      <c r="A1" s="3722"/>
      <c r="B1" s="3722"/>
      <c r="C1" s="738"/>
      <c r="D1" s="768"/>
      <c r="E1" s="768"/>
      <c r="F1" s="768"/>
      <c r="G1" s="768"/>
      <c r="H1" s="768"/>
      <c r="I1" s="768"/>
      <c r="J1" s="768"/>
      <c r="K1" s="768"/>
      <c r="L1" s="768"/>
      <c r="M1" s="768"/>
      <c r="N1" s="768"/>
      <c r="O1" s="768"/>
      <c r="P1" s="768"/>
      <c r="Q1" s="768"/>
      <c r="R1" s="768"/>
      <c r="S1" s="768"/>
      <c r="T1" s="768"/>
      <c r="U1" s="768"/>
      <c r="V1" s="768"/>
      <c r="W1" s="768"/>
      <c r="X1" s="768"/>
      <c r="Y1" s="768"/>
      <c r="Z1" s="768"/>
      <c r="AA1" s="768"/>
      <c r="AB1" s="768"/>
      <c r="AC1" s="768"/>
    </row>
    <row r="2" spans="1:35" s="767" customFormat="1" ht="16.899999999999999" customHeight="1">
      <c r="A2" s="3723" t="s">
        <v>586</v>
      </c>
      <c r="B2" s="3723"/>
      <c r="C2" s="739"/>
      <c r="D2" s="3659"/>
      <c r="E2" s="3659"/>
      <c r="F2" s="1016"/>
      <c r="AE2"/>
      <c r="AF2"/>
      <c r="AG2"/>
      <c r="AH2"/>
      <c r="AI2"/>
    </row>
    <row r="3" spans="1:35" s="767" customFormat="1" ht="15" thickBot="1">
      <c r="A3" s="768"/>
      <c r="B3" s="768"/>
      <c r="C3" s="768"/>
      <c r="D3" s="768"/>
      <c r="E3" s="768"/>
      <c r="F3" s="768"/>
      <c r="G3" s="768"/>
      <c r="H3" s="768"/>
      <c r="I3" s="768"/>
      <c r="J3" s="768"/>
      <c r="K3" s="768"/>
      <c r="L3" s="768"/>
      <c r="M3" s="768"/>
      <c r="N3" s="768"/>
      <c r="O3" s="768"/>
      <c r="P3" s="768"/>
      <c r="Q3" s="768"/>
      <c r="R3" s="768"/>
      <c r="S3" s="768"/>
      <c r="T3" s="768"/>
      <c r="U3" s="768"/>
      <c r="V3" s="768"/>
      <c r="W3" s="768"/>
      <c r="X3" s="768"/>
      <c r="Y3" s="768"/>
      <c r="Z3" s="768"/>
      <c r="AA3" s="768"/>
      <c r="AB3" s="768"/>
      <c r="AC3" s="768"/>
      <c r="AE3"/>
      <c r="AF3"/>
      <c r="AG3"/>
      <c r="AH3"/>
      <c r="AI3"/>
    </row>
    <row r="4" spans="1:35" s="767" customFormat="1">
      <c r="A4" s="1574"/>
      <c r="B4" s="3733" t="s">
        <v>587</v>
      </c>
      <c r="C4" s="3734"/>
      <c r="D4" s="3734"/>
      <c r="E4" s="3735"/>
      <c r="F4" s="3733" t="s">
        <v>588</v>
      </c>
      <c r="G4" s="3734"/>
      <c r="H4" s="3734"/>
      <c r="I4" s="3735"/>
      <c r="J4" s="3733" t="s">
        <v>589</v>
      </c>
      <c r="K4" s="3734"/>
      <c r="L4" s="3734"/>
      <c r="M4" s="3735"/>
      <c r="N4" s="3730" t="s">
        <v>590</v>
      </c>
      <c r="O4" s="3731"/>
      <c r="P4" s="3731"/>
      <c r="Q4" s="3732"/>
      <c r="R4" s="3730" t="s">
        <v>591</v>
      </c>
      <c r="S4" s="3731"/>
      <c r="T4" s="3731"/>
      <c r="U4" s="3732"/>
      <c r="V4" s="3730" t="s">
        <v>592</v>
      </c>
      <c r="W4" s="3731"/>
      <c r="X4" s="3731"/>
      <c r="Y4" s="3732"/>
      <c r="Z4" s="3727" t="s">
        <v>164</v>
      </c>
      <c r="AA4" s="3728"/>
      <c r="AB4" s="3728"/>
      <c r="AC4" s="3729"/>
      <c r="AE4"/>
      <c r="AF4"/>
      <c r="AG4"/>
      <c r="AH4"/>
      <c r="AI4"/>
    </row>
    <row r="5" spans="1:35" s="767" customFormat="1" ht="15" thickBot="1">
      <c r="A5" s="1575"/>
      <c r="B5" s="1920" t="s">
        <v>483</v>
      </c>
      <c r="C5" s="1921" t="s">
        <v>484</v>
      </c>
      <c r="D5" s="1921" t="s">
        <v>485</v>
      </c>
      <c r="E5" s="1922" t="s">
        <v>183</v>
      </c>
      <c r="F5" s="1923" t="s">
        <v>483</v>
      </c>
      <c r="G5" s="1924" t="s">
        <v>484</v>
      </c>
      <c r="H5" s="1924" t="s">
        <v>485</v>
      </c>
      <c r="I5" s="1925" t="s">
        <v>183</v>
      </c>
      <c r="J5" s="1923" t="s">
        <v>483</v>
      </c>
      <c r="K5" s="1924" t="s">
        <v>484</v>
      </c>
      <c r="L5" s="1924" t="s">
        <v>485</v>
      </c>
      <c r="M5" s="1925" t="s">
        <v>183</v>
      </c>
      <c r="N5" s="1923" t="s">
        <v>483</v>
      </c>
      <c r="O5" s="1924" t="s">
        <v>484</v>
      </c>
      <c r="P5" s="1924" t="s">
        <v>485</v>
      </c>
      <c r="Q5" s="1925" t="s">
        <v>183</v>
      </c>
      <c r="R5" s="1923" t="s">
        <v>483</v>
      </c>
      <c r="S5" s="1924" t="s">
        <v>484</v>
      </c>
      <c r="T5" s="1924" t="s">
        <v>485</v>
      </c>
      <c r="U5" s="1925" t="s">
        <v>183</v>
      </c>
      <c r="V5" s="1923" t="s">
        <v>483</v>
      </c>
      <c r="W5" s="1924" t="s">
        <v>484</v>
      </c>
      <c r="X5" s="1924" t="s">
        <v>485</v>
      </c>
      <c r="Y5" s="1925" t="s">
        <v>183</v>
      </c>
      <c r="Z5" s="1923" t="s">
        <v>483</v>
      </c>
      <c r="AA5" s="1924" t="s">
        <v>484</v>
      </c>
      <c r="AB5" s="1924" t="s">
        <v>485</v>
      </c>
      <c r="AC5" s="1925" t="s">
        <v>183</v>
      </c>
      <c r="AE5"/>
      <c r="AF5"/>
      <c r="AG5"/>
      <c r="AH5"/>
      <c r="AI5"/>
    </row>
    <row r="6" spans="1:35" s="1585" customFormat="1">
      <c r="A6" s="1913" t="s">
        <v>593</v>
      </c>
      <c r="B6" s="1582">
        <v>4856214</v>
      </c>
      <c r="C6" s="1583">
        <v>28574167</v>
      </c>
      <c r="D6" s="1583">
        <v>28433294</v>
      </c>
      <c r="E6" s="1584">
        <v>61863675</v>
      </c>
      <c r="F6" s="1582">
        <v>4486162</v>
      </c>
      <c r="G6" s="1583">
        <v>28229942</v>
      </c>
      <c r="H6" s="1583">
        <v>26882581</v>
      </c>
      <c r="I6" s="1584">
        <v>59598685</v>
      </c>
      <c r="J6" s="1582">
        <v>413321</v>
      </c>
      <c r="K6" s="1583">
        <v>2841408</v>
      </c>
      <c r="L6" s="1583">
        <v>3069220</v>
      </c>
      <c r="M6" s="1584">
        <v>6323949</v>
      </c>
      <c r="N6" s="1582">
        <f>'G4-AO1, 2, 3 - PAX, ATM, Cargo'!G5</f>
        <v>1140342</v>
      </c>
      <c r="O6" s="1583">
        <f>'G4-AO1, 2, 3 - PAX, ATM, Cargo'!G6</f>
        <v>9142442</v>
      </c>
      <c r="P6" s="1583">
        <f>'G4-AO1, 2, 3 - PAX, ATM, Cargo'!G7</f>
        <v>10261591</v>
      </c>
      <c r="Q6" s="1584">
        <f>SUM(N6:P6)</f>
        <v>20544375</v>
      </c>
      <c r="R6" s="1582">
        <f>'G4-AO1, 2, 3 - PAX, ATM, Cargo'!H5</f>
        <v>3330468</v>
      </c>
      <c r="S6" s="1583">
        <f>'G4-AO1, 2, 3 - PAX, ATM, Cargo'!H6</f>
        <v>25237615</v>
      </c>
      <c r="T6" s="1583">
        <f>'G4-AO1, 2, 3 - PAX, ATM, Cargo'!H7</f>
        <v>25512720</v>
      </c>
      <c r="U6" s="1584">
        <f>SUM(R6:T6)</f>
        <v>54080803</v>
      </c>
      <c r="V6" s="1582">
        <f>'G4-AO1, 2, 3 - PAX, ATM, Cargo'!I5</f>
        <v>4077406</v>
      </c>
      <c r="W6" s="1583">
        <f>'G4-AO1, 2, 3 - PAX, ATM, Cargo'!I7</f>
        <v>28513853</v>
      </c>
      <c r="X6" s="1583">
        <f>'G4-AO1, 2, 3 - PAX, ATM, Cargo'!I6</f>
        <v>28736112</v>
      </c>
      <c r="Y6" s="1584">
        <f>SUM(V6:X6)</f>
        <v>61327371</v>
      </c>
      <c r="Z6" s="3044">
        <f>'G4-AO1, 2, 3 - PAX, ATM, Cargo'!J5</f>
        <v>4014657</v>
      </c>
      <c r="AA6" s="3045">
        <f>'G4-AO1, 2, 3 - PAX, ATM, Cargo'!J6</f>
        <v>31136769</v>
      </c>
      <c r="AB6" s="3045">
        <f>'G4-AO1, 2, 3 - PAX, ATM, Cargo'!J7</f>
        <v>29892261</v>
      </c>
      <c r="AC6" s="3046">
        <f>SUM(Z6:AB6)</f>
        <v>65043687</v>
      </c>
      <c r="AE6"/>
      <c r="AF6"/>
      <c r="AG6"/>
      <c r="AH6"/>
      <c r="AI6"/>
    </row>
    <row r="7" spans="1:35" s="767" customFormat="1">
      <c r="A7" s="1914" t="s">
        <v>594</v>
      </c>
      <c r="B7" s="1576">
        <v>46433.668371200969</v>
      </c>
      <c r="C7" s="1577">
        <v>366360.32212703972</v>
      </c>
      <c r="D7" s="1577">
        <v>330498.80451717385</v>
      </c>
      <c r="E7" s="1578">
        <v>743292.79501541448</v>
      </c>
      <c r="F7" s="1576">
        <v>40849.26</v>
      </c>
      <c r="G7" s="1577">
        <v>345258.53829168901</v>
      </c>
      <c r="H7" s="1577">
        <v>305691.48316676402</v>
      </c>
      <c r="I7" s="1578">
        <v>691799.28145845304</v>
      </c>
      <c r="J7" s="1576">
        <v>3643</v>
      </c>
      <c r="K7" s="1577">
        <v>33838</v>
      </c>
      <c r="L7" s="1577">
        <v>34261</v>
      </c>
      <c r="M7" s="1578">
        <v>71743</v>
      </c>
      <c r="N7" s="1579">
        <v>2812.43</v>
      </c>
      <c r="O7" s="1580">
        <v>39731.360000000001</v>
      </c>
      <c r="P7" s="1580">
        <v>36274.33</v>
      </c>
      <c r="Q7" s="1581">
        <v>78818.12</v>
      </c>
      <c r="R7" s="1579">
        <v>22309</v>
      </c>
      <c r="S7" s="1580">
        <v>197808</v>
      </c>
      <c r="T7" s="1580">
        <v>196209</v>
      </c>
      <c r="U7" s="1581">
        <v>416325</v>
      </c>
      <c r="V7" s="1579">
        <v>27218.19</v>
      </c>
      <c r="W7" s="1580">
        <v>236874.68</v>
      </c>
      <c r="X7" s="1580">
        <v>271817.93</v>
      </c>
      <c r="Y7" s="1581">
        <v>535910.80000000005</v>
      </c>
      <c r="Z7" s="2236">
        <v>28972</v>
      </c>
      <c r="AA7" s="1735">
        <v>253203</v>
      </c>
      <c r="AB7" s="1735">
        <v>285873</v>
      </c>
      <c r="AC7" s="3047">
        <v>568048</v>
      </c>
      <c r="AE7"/>
      <c r="AF7"/>
      <c r="AG7"/>
      <c r="AH7"/>
      <c r="AI7"/>
    </row>
    <row r="8" spans="1:35" s="1585" customFormat="1">
      <c r="A8" s="1915" t="s">
        <v>595</v>
      </c>
      <c r="B8" s="1589">
        <f t="shared" ref="B8:Q8" si="0">SUM(B7*1000)</f>
        <v>46433668.371200971</v>
      </c>
      <c r="C8" s="1269">
        <f t="shared" si="0"/>
        <v>366360322.12703973</v>
      </c>
      <c r="D8" s="1269">
        <f t="shared" si="0"/>
        <v>330498804.51717383</v>
      </c>
      <c r="E8" s="1590">
        <f t="shared" si="0"/>
        <v>743292795.01541448</v>
      </c>
      <c r="F8" s="1589">
        <f t="shared" si="0"/>
        <v>40849260</v>
      </c>
      <c r="G8" s="1269">
        <f t="shared" si="0"/>
        <v>345258538.29168904</v>
      </c>
      <c r="H8" s="1269">
        <f t="shared" si="0"/>
        <v>305691483.16676402</v>
      </c>
      <c r="I8" s="1590">
        <f t="shared" si="0"/>
        <v>691799281.45845306</v>
      </c>
      <c r="J8" s="1589">
        <f t="shared" si="0"/>
        <v>3643000</v>
      </c>
      <c r="K8" s="1269">
        <f t="shared" si="0"/>
        <v>33838000</v>
      </c>
      <c r="L8" s="1269">
        <f t="shared" si="0"/>
        <v>34261000</v>
      </c>
      <c r="M8" s="1590">
        <f>SUM(M7*1000)</f>
        <v>71743000</v>
      </c>
      <c r="N8" s="1589">
        <f t="shared" si="0"/>
        <v>2812430</v>
      </c>
      <c r="O8" s="1269">
        <f t="shared" si="0"/>
        <v>39731360</v>
      </c>
      <c r="P8" s="1269">
        <f t="shared" si="0"/>
        <v>36274330</v>
      </c>
      <c r="Q8" s="1590">
        <f t="shared" si="0"/>
        <v>78818120</v>
      </c>
      <c r="R8" s="1589">
        <f t="shared" ref="R8:X8" si="1">SUM(R7*1000)</f>
        <v>22309000</v>
      </c>
      <c r="S8" s="1269">
        <f t="shared" si="1"/>
        <v>197808000</v>
      </c>
      <c r="T8" s="1269">
        <f t="shared" si="1"/>
        <v>196209000</v>
      </c>
      <c r="U8" s="1590">
        <f>SUM(U7*1000)</f>
        <v>416325000</v>
      </c>
      <c r="V8" s="1591">
        <f t="shared" si="1"/>
        <v>27218190</v>
      </c>
      <c r="W8" s="1269">
        <f>SUM(W7*1000)</f>
        <v>236874680</v>
      </c>
      <c r="X8" s="1269">
        <f t="shared" si="1"/>
        <v>271817930</v>
      </c>
      <c r="Y8" s="1590">
        <f>SUM(Y7*1000)</f>
        <v>535910800.00000006</v>
      </c>
      <c r="Z8" s="1589">
        <f t="shared" ref="Z8" si="2">SUM(Z7*1000)</f>
        <v>28972000</v>
      </c>
      <c r="AA8" s="1269">
        <f>SUM(AA7*1000)</f>
        <v>253203000</v>
      </c>
      <c r="AB8" s="1269">
        <f>SUM(AB7*1000)</f>
        <v>285873000</v>
      </c>
      <c r="AC8" s="2889">
        <f>SUM(AC7*1000)</f>
        <v>568048000</v>
      </c>
      <c r="AE8"/>
      <c r="AF8"/>
      <c r="AG8"/>
      <c r="AH8"/>
      <c r="AI8"/>
    </row>
    <row r="9" spans="1:35" s="1585" customFormat="1" ht="15" thickBot="1">
      <c r="A9" s="1916" t="s">
        <v>596</v>
      </c>
      <c r="B9" s="1593">
        <f t="shared" ref="B9" si="3">B8/B6</f>
        <v>9.5617014347392786</v>
      </c>
      <c r="C9" s="1592">
        <f t="shared" ref="C9" si="4">C8/C6</f>
        <v>12.821382409049395</v>
      </c>
      <c r="D9" s="1592">
        <f t="shared" ref="D9" si="5">D8/D6</f>
        <v>11.623655159939394</v>
      </c>
      <c r="E9" s="1594">
        <f t="shared" ref="E9" si="6">E8/E6</f>
        <v>12.015011960013926</v>
      </c>
      <c r="F9" s="1593">
        <f t="shared" ref="F9" si="7">F8/F6</f>
        <v>9.1056141084517233</v>
      </c>
      <c r="G9" s="1592">
        <f t="shared" ref="G9" si="8">G8/G6</f>
        <v>12.230224854577775</v>
      </c>
      <c r="H9" s="1592">
        <f t="shared" ref="H9" si="9">H8/H6</f>
        <v>11.371359140209194</v>
      </c>
      <c r="I9" s="1594">
        <f t="shared" ref="I9" si="10">I8/I6</f>
        <v>11.607626602138168</v>
      </c>
      <c r="J9" s="1593">
        <f t="shared" ref="J9" si="11">J8/J6</f>
        <v>8.813972674991108</v>
      </c>
      <c r="K9" s="1592">
        <f t="shared" ref="K9" si="12">K8/K6</f>
        <v>11.908884609320449</v>
      </c>
      <c r="L9" s="1592">
        <f t="shared" ref="L9" si="13">L8/L6</f>
        <v>11.162770997191469</v>
      </c>
      <c r="M9" s="1594">
        <f t="shared" ref="M9" si="14">M8/M6</f>
        <v>11.344651893935261</v>
      </c>
      <c r="N9" s="1593">
        <f t="shared" ref="N9" si="15">N8/N6</f>
        <v>2.4663039684585852</v>
      </c>
      <c r="O9" s="1592">
        <f t="shared" ref="O9" si="16">O8/O6</f>
        <v>4.3458148271544959</v>
      </c>
      <c r="P9" s="1592">
        <f t="shared" ref="P9" si="17">P8/P6</f>
        <v>3.5349615863660908</v>
      </c>
      <c r="Q9" s="1594">
        <f t="shared" ref="Q9" si="18">Q8/Q6</f>
        <v>3.8364817620394875</v>
      </c>
      <c r="R9" s="1593">
        <f t="shared" ref="R9" si="19">R8/R6</f>
        <v>6.698457994492065</v>
      </c>
      <c r="S9" s="1592">
        <f t="shared" ref="S9:T9" si="20">S8/S6</f>
        <v>7.8378246121909694</v>
      </c>
      <c r="T9" s="1592">
        <f t="shared" si="20"/>
        <v>7.6906343188809343</v>
      </c>
      <c r="U9" s="1594">
        <f>U8/U6</f>
        <v>7.6982030019043908</v>
      </c>
      <c r="V9" s="1593">
        <f>V8/V6</f>
        <v>6.6753690949589028</v>
      </c>
      <c r="W9" s="1592">
        <f>W8/W6</f>
        <v>8.307354323528287</v>
      </c>
      <c r="X9" s="1592">
        <f>X8/X6</f>
        <v>9.4591060196313261</v>
      </c>
      <c r="Y9" s="1594">
        <f>Y8/Y6</f>
        <v>8.7385255761248928</v>
      </c>
      <c r="Z9" s="3066">
        <f t="shared" ref="Z9:AB9" si="21">Z8/Z6</f>
        <v>7.2165567319947881</v>
      </c>
      <c r="AA9" s="1592">
        <f t="shared" si="21"/>
        <v>8.1319612834587947</v>
      </c>
      <c r="AB9" s="1592">
        <f t="shared" si="21"/>
        <v>9.5634452007494524</v>
      </c>
      <c r="AC9" s="1594">
        <f>AC8/AC6</f>
        <v>8.7333302615517479</v>
      </c>
      <c r="AE9"/>
      <c r="AF9"/>
      <c r="AG9"/>
      <c r="AH9"/>
      <c r="AI9"/>
    </row>
    <row r="10" spans="1:35" s="1585" customFormat="1">
      <c r="A10" s="642"/>
      <c r="B10" s="1635"/>
      <c r="C10" s="1635"/>
      <c r="D10" s="1635"/>
      <c r="E10" s="1635"/>
      <c r="F10" s="1635"/>
      <c r="G10" s="1635"/>
      <c r="H10" s="1635"/>
      <c r="I10" s="1635"/>
      <c r="J10" s="1635"/>
      <c r="K10" s="1635"/>
      <c r="L10" s="1635"/>
      <c r="M10" s="1635"/>
      <c r="N10" s="1635"/>
      <c r="O10" s="1635"/>
      <c r="P10" s="1635"/>
      <c r="Q10" s="1635"/>
      <c r="R10" s="1635"/>
      <c r="S10" s="1635"/>
      <c r="T10" s="1635"/>
      <c r="U10" s="1635"/>
      <c r="V10" s="1635"/>
      <c r="W10" s="1635"/>
      <c r="X10" s="1635"/>
      <c r="Y10" s="1635"/>
      <c r="Z10" s="1635"/>
      <c r="AA10" s="1635"/>
      <c r="AB10" s="1635"/>
      <c r="AC10" s="1635"/>
      <c r="AE10"/>
      <c r="AF10"/>
      <c r="AG10"/>
      <c r="AH10"/>
      <c r="AI10"/>
    </row>
    <row r="11" spans="1:35" s="1585" customFormat="1" ht="13.9" customHeight="1">
      <c r="A11" s="3723" t="s">
        <v>597</v>
      </c>
      <c r="B11" s="3723"/>
      <c r="C11" s="1635"/>
      <c r="D11" s="1635"/>
      <c r="E11" s="1635"/>
      <c r="F11" s="1635"/>
      <c r="G11" s="1635"/>
      <c r="H11" s="1635"/>
      <c r="I11" s="1635"/>
      <c r="J11" s="1635"/>
      <c r="K11" s="1635"/>
      <c r="L11" s="1635"/>
      <c r="M11" s="1635"/>
      <c r="N11" s="1635"/>
      <c r="O11" s="1635"/>
      <c r="P11" s="1635"/>
      <c r="Q11" s="1635"/>
      <c r="R11" s="1635"/>
      <c r="S11" s="1635"/>
      <c r="T11" s="1635"/>
      <c r="U11" s="1635"/>
      <c r="V11" s="1635"/>
      <c r="W11" s="1635"/>
      <c r="X11" s="1635"/>
      <c r="Y11" s="1635"/>
      <c r="Z11" s="1635"/>
      <c r="AA11" s="1635"/>
      <c r="AB11" s="1635"/>
      <c r="AC11" s="1635"/>
      <c r="AE11"/>
      <c r="AF11"/>
      <c r="AG11"/>
      <c r="AH11"/>
      <c r="AI11"/>
    </row>
    <row r="12" spans="1:35" s="1585" customFormat="1" ht="15" thickBot="1">
      <c r="A12" s="642"/>
      <c r="B12" s="1586"/>
      <c r="C12" s="1586"/>
      <c r="D12" s="1587"/>
      <c r="E12" s="1586"/>
      <c r="F12" s="1586"/>
      <c r="G12" s="1586"/>
      <c r="H12" s="1586"/>
      <c r="I12" s="1586"/>
      <c r="J12" s="1586"/>
      <c r="K12" s="1586"/>
      <c r="L12" s="1586"/>
      <c r="M12" s="1586"/>
      <c r="N12" s="1586"/>
      <c r="O12" s="1586"/>
      <c r="P12" s="1586"/>
      <c r="Q12" s="1588"/>
      <c r="R12" s="1586"/>
      <c r="S12" s="1586"/>
      <c r="T12" s="1586"/>
      <c r="U12" s="1586"/>
      <c r="V12" s="1586"/>
      <c r="W12" s="1586"/>
      <c r="X12" s="1586"/>
      <c r="Y12" s="1586"/>
      <c r="Z12" s="1586"/>
      <c r="AA12" s="1586"/>
      <c r="AB12" s="1586"/>
      <c r="AC12" s="1586"/>
      <c r="AE12"/>
      <c r="AF12"/>
      <c r="AG12"/>
      <c r="AH12"/>
      <c r="AI12"/>
    </row>
    <row r="13" spans="1:35" s="767" customFormat="1">
      <c r="A13" s="1574"/>
      <c r="B13" s="3733" t="s">
        <v>587</v>
      </c>
      <c r="C13" s="3734"/>
      <c r="D13" s="3734"/>
      <c r="E13" s="3735"/>
      <c r="F13" s="3733" t="s">
        <v>588</v>
      </c>
      <c r="G13" s="3734"/>
      <c r="H13" s="3734"/>
      <c r="I13" s="3735"/>
      <c r="J13" s="3733" t="s">
        <v>589</v>
      </c>
      <c r="K13" s="3734"/>
      <c r="L13" s="3734"/>
      <c r="M13" s="3735"/>
      <c r="N13" s="3730" t="s">
        <v>590</v>
      </c>
      <c r="O13" s="3731"/>
      <c r="P13" s="3731"/>
      <c r="Q13" s="3732"/>
      <c r="R13" s="3730" t="s">
        <v>591</v>
      </c>
      <c r="S13" s="3731"/>
      <c r="T13" s="3731"/>
      <c r="U13" s="3732"/>
      <c r="V13" s="3730" t="s">
        <v>592</v>
      </c>
      <c r="W13" s="3731"/>
      <c r="X13" s="3731"/>
      <c r="Y13" s="3732"/>
      <c r="Z13" s="3727" t="s">
        <v>164</v>
      </c>
      <c r="AA13" s="3728"/>
      <c r="AB13" s="3728"/>
      <c r="AC13" s="3729"/>
      <c r="AE13"/>
      <c r="AF13"/>
      <c r="AG13"/>
      <c r="AH13"/>
      <c r="AI13"/>
    </row>
    <row r="14" spans="1:35" s="767" customFormat="1" ht="15" thickBot="1">
      <c r="A14" s="1636"/>
      <c r="B14" s="1920" t="s">
        <v>483</v>
      </c>
      <c r="C14" s="1921" t="s">
        <v>484</v>
      </c>
      <c r="D14" s="1921" t="s">
        <v>485</v>
      </c>
      <c r="E14" s="1922" t="s">
        <v>183</v>
      </c>
      <c r="F14" s="1923" t="s">
        <v>483</v>
      </c>
      <c r="G14" s="1924" t="s">
        <v>484</v>
      </c>
      <c r="H14" s="1924" t="s">
        <v>485</v>
      </c>
      <c r="I14" s="1925" t="s">
        <v>183</v>
      </c>
      <c r="J14" s="1923" t="s">
        <v>483</v>
      </c>
      <c r="K14" s="1924" t="s">
        <v>484</v>
      </c>
      <c r="L14" s="1924" t="s">
        <v>485</v>
      </c>
      <c r="M14" s="1925" t="s">
        <v>183</v>
      </c>
      <c r="N14" s="1923" t="s">
        <v>483</v>
      </c>
      <c r="O14" s="1924" t="s">
        <v>484</v>
      </c>
      <c r="P14" s="1924" t="s">
        <v>485</v>
      </c>
      <c r="Q14" s="1925" t="s">
        <v>183</v>
      </c>
      <c r="R14" s="1923" t="s">
        <v>483</v>
      </c>
      <c r="S14" s="1924" t="s">
        <v>484</v>
      </c>
      <c r="T14" s="1924" t="s">
        <v>485</v>
      </c>
      <c r="U14" s="1925" t="s">
        <v>183</v>
      </c>
      <c r="V14" s="1923" t="s">
        <v>483</v>
      </c>
      <c r="W14" s="1924" t="s">
        <v>484</v>
      </c>
      <c r="X14" s="1924" t="s">
        <v>485</v>
      </c>
      <c r="Y14" s="1925" t="s">
        <v>183</v>
      </c>
      <c r="Z14" s="1923" t="s">
        <v>483</v>
      </c>
      <c r="AA14" s="1924" t="s">
        <v>484</v>
      </c>
      <c r="AB14" s="1924" t="s">
        <v>485</v>
      </c>
      <c r="AC14" s="1925" t="s">
        <v>183</v>
      </c>
      <c r="AE14"/>
      <c r="AF14"/>
      <c r="AG14"/>
      <c r="AH14"/>
      <c r="AI14"/>
    </row>
    <row r="15" spans="1:35" s="769" customFormat="1">
      <c r="A15" s="1917" t="s">
        <v>598</v>
      </c>
      <c r="B15" s="866">
        <v>0.5302</v>
      </c>
      <c r="C15" s="867">
        <v>0.52829999999999999</v>
      </c>
      <c r="D15" s="867">
        <v>0.26769999999999999</v>
      </c>
      <c r="E15" s="868">
        <v>0.40867423237788603</v>
      </c>
      <c r="F15" s="866">
        <v>0.29093199950137916</v>
      </c>
      <c r="G15" s="867">
        <v>0.22833895698672557</v>
      </c>
      <c r="H15" s="867">
        <v>0.11848348691919165</v>
      </c>
      <c r="I15" s="868">
        <v>0.18257834922828464</v>
      </c>
      <c r="J15" s="866">
        <v>0.28778998360768526</v>
      </c>
      <c r="K15" s="867">
        <v>0.23361108081891527</v>
      </c>
      <c r="L15" s="867">
        <v>0.11812651180546686</v>
      </c>
      <c r="M15" s="868">
        <v>0.18412772022992499</v>
      </c>
      <c r="N15" s="869" t="s">
        <v>180</v>
      </c>
      <c r="O15" s="870" t="s">
        <v>180</v>
      </c>
      <c r="P15" s="870" t="s">
        <v>180</v>
      </c>
      <c r="Q15" s="871" t="s">
        <v>180</v>
      </c>
      <c r="R15" s="869" t="s">
        <v>180</v>
      </c>
      <c r="S15" s="870" t="s">
        <v>180</v>
      </c>
      <c r="T15" s="851" t="s">
        <v>180</v>
      </c>
      <c r="U15" s="852" t="s">
        <v>180</v>
      </c>
      <c r="V15" s="869">
        <v>0.5572876071706937</v>
      </c>
      <c r="W15" s="870">
        <v>0.56836561429763721</v>
      </c>
      <c r="X15" s="870">
        <v>0.27871235721703014</v>
      </c>
      <c r="Y15" s="871">
        <v>0.476574021554169</v>
      </c>
      <c r="Z15" s="869">
        <v>0.48274970926476291</v>
      </c>
      <c r="AA15" s="870">
        <v>0.54002995750924709</v>
      </c>
      <c r="AB15" s="870">
        <v>0.26370505027552121</v>
      </c>
      <c r="AC15" s="871">
        <v>0.44860907759882873</v>
      </c>
      <c r="AE15"/>
      <c r="AF15"/>
      <c r="AG15"/>
      <c r="AH15"/>
      <c r="AI15"/>
    </row>
    <row r="16" spans="1:35" s="769" customFormat="1">
      <c r="A16" s="1918" t="s">
        <v>599</v>
      </c>
      <c r="B16" s="866">
        <v>0.37359999999999999</v>
      </c>
      <c r="C16" s="867">
        <v>0.26529999999999998</v>
      </c>
      <c r="D16" s="867">
        <v>0.1981</v>
      </c>
      <c r="E16" s="868">
        <v>0.24291546851848</v>
      </c>
      <c r="F16" s="866">
        <v>0.39430888167079331</v>
      </c>
      <c r="G16" s="867">
        <v>0.28495363429005582</v>
      </c>
      <c r="H16" s="867">
        <v>0.2517354693709748</v>
      </c>
      <c r="I16" s="868">
        <v>0.27916144596718762</v>
      </c>
      <c r="J16" s="866">
        <v>0.39034156161140265</v>
      </c>
      <c r="K16" s="867">
        <v>0.28322830837887097</v>
      </c>
      <c r="L16" s="867">
        <v>0.25217811228644504</v>
      </c>
      <c r="M16" s="868">
        <v>0.27733160452684541</v>
      </c>
      <c r="N16" s="869" t="s">
        <v>180</v>
      </c>
      <c r="O16" s="870" t="s">
        <v>180</v>
      </c>
      <c r="P16" s="870" t="s">
        <v>180</v>
      </c>
      <c r="Q16" s="871" t="s">
        <v>180</v>
      </c>
      <c r="R16" s="869" t="s">
        <v>180</v>
      </c>
      <c r="S16" s="870" t="s">
        <v>180</v>
      </c>
      <c r="T16" s="851" t="s">
        <v>180</v>
      </c>
      <c r="U16" s="852" t="s">
        <v>180</v>
      </c>
      <c r="V16" s="869">
        <v>0.346193816575734</v>
      </c>
      <c r="W16" s="870">
        <v>0.25717328114657378</v>
      </c>
      <c r="X16" s="870">
        <v>0.22627206645898235</v>
      </c>
      <c r="Y16" s="871">
        <v>0.25863382221862097</v>
      </c>
      <c r="Z16" s="869">
        <v>0.42253521126760563</v>
      </c>
      <c r="AA16" s="870">
        <v>0.27875768043285543</v>
      </c>
      <c r="AB16" s="870">
        <v>0.2466625007101062</v>
      </c>
      <c r="AC16" s="871">
        <v>0.2881922315046076</v>
      </c>
      <c r="AE16"/>
      <c r="AF16"/>
      <c r="AG16"/>
      <c r="AH16"/>
      <c r="AI16"/>
    </row>
    <row r="17" spans="1:35" s="769" customFormat="1">
      <c r="A17" s="1918" t="s">
        <v>600</v>
      </c>
      <c r="B17" s="866">
        <v>0</v>
      </c>
      <c r="C17" s="867">
        <v>0.151</v>
      </c>
      <c r="D17" s="867">
        <v>0.31890000000000002</v>
      </c>
      <c r="E17" s="868">
        <v>0.216315578950006</v>
      </c>
      <c r="F17" s="866">
        <v>2.8498694679783407E-5</v>
      </c>
      <c r="G17" s="867">
        <v>0.16214591948965223</v>
      </c>
      <c r="H17" s="867">
        <v>0.31260297450967722</v>
      </c>
      <c r="I17" s="868">
        <v>0.21785157260488136</v>
      </c>
      <c r="J17" s="866">
        <v>2.6008354020459469E-4</v>
      </c>
      <c r="K17" s="867">
        <v>0.16352773990426162</v>
      </c>
      <c r="L17" s="867">
        <v>0.31345024013677947</v>
      </c>
      <c r="M17" s="868">
        <v>0.22032848633081753</v>
      </c>
      <c r="N17" s="869" t="s">
        <v>180</v>
      </c>
      <c r="O17" s="870" t="s">
        <v>180</v>
      </c>
      <c r="P17" s="870" t="s">
        <v>180</v>
      </c>
      <c r="Q17" s="871" t="s">
        <v>180</v>
      </c>
      <c r="R17" s="869" t="s">
        <v>180</v>
      </c>
      <c r="S17" s="870" t="s">
        <v>180</v>
      </c>
      <c r="T17" s="851" t="s">
        <v>180</v>
      </c>
      <c r="U17" s="852" t="s">
        <v>180</v>
      </c>
      <c r="V17" s="869">
        <v>0</v>
      </c>
      <c r="W17" s="870">
        <v>0.14406999165395573</v>
      </c>
      <c r="X17" s="870">
        <v>0.308515057113188</v>
      </c>
      <c r="Y17" s="871">
        <v>0.17742484401588204</v>
      </c>
      <c r="Z17" s="869">
        <v>0</v>
      </c>
      <c r="AA17" s="870">
        <v>0.15370036376975513</v>
      </c>
      <c r="AB17" s="870">
        <v>0.31863886837470889</v>
      </c>
      <c r="AC17" s="871">
        <v>0.18322280595986565</v>
      </c>
      <c r="AE17"/>
      <c r="AF17"/>
      <c r="AG17"/>
      <c r="AH17"/>
      <c r="AI17"/>
    </row>
    <row r="18" spans="1:35" s="769" customFormat="1">
      <c r="A18" s="1918" t="s">
        <v>601</v>
      </c>
      <c r="B18" s="866">
        <v>7.6200000000000004E-2</v>
      </c>
      <c r="C18" s="867">
        <v>1.9800000000000002E-2</v>
      </c>
      <c r="D18" s="867">
        <v>0.19139999999999999</v>
      </c>
      <c r="E18" s="868">
        <v>0.103096760497982</v>
      </c>
      <c r="F18" s="866">
        <v>8.3759245988924078E-2</v>
      </c>
      <c r="G18" s="867">
        <v>2.4308096926235673E-2</v>
      </c>
      <c r="H18" s="867">
        <v>0.20223586934300911</v>
      </c>
      <c r="I18" s="868">
        <v>0.11131668579715198</v>
      </c>
      <c r="J18" s="866">
        <v>9.0195680013062898E-2</v>
      </c>
      <c r="K18" s="867">
        <v>2.5355817391066841E-2</v>
      </c>
      <c r="L18" s="867">
        <v>0.20457604654210459</v>
      </c>
      <c r="M18" s="868">
        <v>0.11406916847455581</v>
      </c>
      <c r="N18" s="869" t="s">
        <v>180</v>
      </c>
      <c r="O18" s="870" t="s">
        <v>180</v>
      </c>
      <c r="P18" s="870" t="s">
        <v>180</v>
      </c>
      <c r="Q18" s="871" t="s">
        <v>180</v>
      </c>
      <c r="R18" s="869" t="s">
        <v>180</v>
      </c>
      <c r="S18" s="870" t="s">
        <v>180</v>
      </c>
      <c r="T18" s="851" t="s">
        <v>180</v>
      </c>
      <c r="U18" s="852" t="s">
        <v>180</v>
      </c>
      <c r="V18" s="869">
        <v>9.4310210444271236E-2</v>
      </c>
      <c r="W18" s="870">
        <v>2.8261432641666903E-2</v>
      </c>
      <c r="X18" s="870">
        <v>0.18110072689511941</v>
      </c>
      <c r="Y18" s="871">
        <v>8.420711449639412E-2</v>
      </c>
      <c r="Z18" s="869">
        <v>9.2776844553559903E-2</v>
      </c>
      <c r="AA18" s="870">
        <v>2.5952985051814263E-2</v>
      </c>
      <c r="AB18" s="870">
        <v>0.16519911378742255</v>
      </c>
      <c r="AC18" s="871">
        <v>7.7082077340453012E-2</v>
      </c>
      <c r="AE18"/>
      <c r="AF18"/>
      <c r="AG18"/>
      <c r="AH18"/>
      <c r="AI18"/>
    </row>
    <row r="19" spans="1:35" ht="15" thickBot="1">
      <c r="A19" s="1919" t="s">
        <v>602</v>
      </c>
      <c r="B19" s="872">
        <v>0.02</v>
      </c>
      <c r="C19" s="873">
        <v>3.5499999999999997E-2</v>
      </c>
      <c r="D19" s="873">
        <v>2.4E-2</v>
      </c>
      <c r="E19" s="874">
        <v>2.8997731940431901E-2</v>
      </c>
      <c r="F19" s="872">
        <v>0.23097137414422375</v>
      </c>
      <c r="G19" s="873">
        <v>0.30025339230733078</v>
      </c>
      <c r="H19" s="873">
        <v>0.11494219985714722</v>
      </c>
      <c r="I19" s="874">
        <v>0.2090919464024944</v>
      </c>
      <c r="J19" s="872">
        <v>0.23141269122764446</v>
      </c>
      <c r="K19" s="873">
        <v>0.29427705350688538</v>
      </c>
      <c r="L19" s="873">
        <v>0.11166908922920399</v>
      </c>
      <c r="M19" s="874">
        <v>0.20414302043785618</v>
      </c>
      <c r="N19" s="875" t="s">
        <v>180</v>
      </c>
      <c r="O19" s="876" t="s">
        <v>180</v>
      </c>
      <c r="P19" s="876" t="s">
        <v>180</v>
      </c>
      <c r="Q19" s="877" t="s">
        <v>180</v>
      </c>
      <c r="R19" s="875" t="s">
        <v>180</v>
      </c>
      <c r="S19" s="876" t="s">
        <v>180</v>
      </c>
      <c r="T19" s="853" t="s">
        <v>180</v>
      </c>
      <c r="U19" s="854" t="s">
        <v>180</v>
      </c>
      <c r="V19" s="875">
        <v>2.2083658093011173E-3</v>
      </c>
      <c r="W19" s="876">
        <v>2.1296802601663452E-3</v>
      </c>
      <c r="X19" s="876">
        <v>5.3997923156801665E-3</v>
      </c>
      <c r="Y19" s="877">
        <v>3.1601977149339597E-3</v>
      </c>
      <c r="Z19" s="875">
        <v>1.9382349140715854E-3</v>
      </c>
      <c r="AA19" s="876">
        <v>1.5590132363280653E-3</v>
      </c>
      <c r="AB19" s="876">
        <v>5.7944668522410953E-3</v>
      </c>
      <c r="AC19" s="877">
        <v>2.8938075962449397E-3</v>
      </c>
    </row>
    <row r="20" spans="1:35" ht="15" thickBot="1">
      <c r="A20" s="1926" t="s">
        <v>603</v>
      </c>
      <c r="B20" s="1927">
        <f t="shared" ref="B20:M20" si="22">SUM(B17:B18)</f>
        <v>7.6200000000000004E-2</v>
      </c>
      <c r="C20" s="1928">
        <f t="shared" si="22"/>
        <v>0.17080000000000001</v>
      </c>
      <c r="D20" s="1929">
        <f t="shared" si="22"/>
        <v>0.51029999999999998</v>
      </c>
      <c r="E20" s="1930">
        <f t="shared" si="22"/>
        <v>0.31941233944798797</v>
      </c>
      <c r="F20" s="1927">
        <f t="shared" si="22"/>
        <v>8.3787744683603865E-2</v>
      </c>
      <c r="G20" s="1928">
        <f>SUM(G17:G18)</f>
        <v>0.18645401641588791</v>
      </c>
      <c r="H20" s="1929">
        <f t="shared" si="22"/>
        <v>0.5148388438526863</v>
      </c>
      <c r="I20" s="1930">
        <f t="shared" si="22"/>
        <v>0.32916825840203334</v>
      </c>
      <c r="J20" s="1927">
        <f t="shared" si="22"/>
        <v>9.0455763553267496E-2</v>
      </c>
      <c r="K20" s="1928">
        <f>SUM(K17:K18)</f>
        <v>0.18888355729532846</v>
      </c>
      <c r="L20" s="1929">
        <f t="shared" si="22"/>
        <v>0.51802628667888406</v>
      </c>
      <c r="M20" s="1930">
        <f t="shared" si="22"/>
        <v>0.33439765480537331</v>
      </c>
      <c r="N20" s="1927">
        <v>7.4999999999999997E-2</v>
      </c>
      <c r="O20" s="1928">
        <v>0.157</v>
      </c>
      <c r="P20" s="1929">
        <v>0.47</v>
      </c>
      <c r="Q20" s="1930">
        <v>0.314</v>
      </c>
      <c r="R20" s="1927">
        <v>9.5000000000000001E-2</v>
      </c>
      <c r="S20" s="1928">
        <v>0.157</v>
      </c>
      <c r="T20" s="1929">
        <v>0.46300000000000002</v>
      </c>
      <c r="U20" s="1930">
        <v>0.3</v>
      </c>
      <c r="V20" s="1927">
        <f t="shared" ref="V20:AA20" si="23">SUM(V17:V18)</f>
        <v>9.4310210444271236E-2</v>
      </c>
      <c r="W20" s="1928">
        <f t="shared" si="23"/>
        <v>0.17233142429562265</v>
      </c>
      <c r="X20" s="1929">
        <f t="shared" si="23"/>
        <v>0.48961578400830741</v>
      </c>
      <c r="Y20" s="1930">
        <f>SUM(Y17:Y18)</f>
        <v>0.26163195851227616</v>
      </c>
      <c r="Z20" s="1927">
        <f>SUM(Z17:Z18)</f>
        <v>9.2776844553559903E-2</v>
      </c>
      <c r="AA20" s="1928">
        <f t="shared" si="23"/>
        <v>0.17965334882156939</v>
      </c>
      <c r="AB20" s="1929">
        <f>SUM(AB17:AB18)</f>
        <v>0.48383798216213147</v>
      </c>
      <c r="AC20" s="1930">
        <f>SUM(AC17:AC18)</f>
        <v>0.26030488330031865</v>
      </c>
    </row>
    <row r="21" spans="1:35">
      <c r="Z21" s="3048"/>
      <c r="AA21" s="3048"/>
      <c r="AB21" s="3048"/>
    </row>
  </sheetData>
  <mergeCells count="18">
    <mergeCell ref="D2:E2"/>
    <mergeCell ref="A11:B11"/>
    <mergeCell ref="Z4:AC4"/>
    <mergeCell ref="Z13:AC13"/>
    <mergeCell ref="A1:B1"/>
    <mergeCell ref="A2:B2"/>
    <mergeCell ref="N13:Q13"/>
    <mergeCell ref="R13:U13"/>
    <mergeCell ref="V13:Y13"/>
    <mergeCell ref="B13:E13"/>
    <mergeCell ref="F13:I13"/>
    <mergeCell ref="J13:M13"/>
    <mergeCell ref="R4:U4"/>
    <mergeCell ref="V4:Y4"/>
    <mergeCell ref="B4:E4"/>
    <mergeCell ref="F4:I4"/>
    <mergeCell ref="J4:M4"/>
    <mergeCell ref="N4:Q4"/>
  </mergeCells>
  <pageMargins left="0.7" right="0.7" top="0.75" bottom="0.75" header="0.3" footer="0.3"/>
  <ignoredErrors>
    <ignoredError sqref="C20" formulaRange="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D24C8-D6F7-4C2E-B5B4-8002991CEBF8}">
  <sheetPr codeName="Sheet16">
    <tabColor theme="0"/>
  </sheetPr>
  <dimension ref="A1:CA113"/>
  <sheetViews>
    <sheetView showGridLines="0" zoomScaleNormal="100" workbookViewId="0">
      <pane xSplit="1" topLeftCell="AF1" activePane="topRight" state="frozen"/>
      <selection pane="topRight" sqref="A1:C1"/>
    </sheetView>
  </sheetViews>
  <sheetFormatPr defaultColWidth="9.140625" defaultRowHeight="12" outlineLevelCol="1"/>
  <cols>
    <col min="1" max="1" width="21.140625" style="687" customWidth="1"/>
    <col min="2" max="3" width="10.7109375" style="687" customWidth="1"/>
    <col min="4" max="13" width="9.140625" style="687" hidden="1" customWidth="1"/>
    <col min="14" max="15" width="10.140625" style="687" hidden="1" customWidth="1"/>
    <col min="16" max="16" width="9.140625" style="687" customWidth="1"/>
    <col min="17" max="19" width="11.140625" style="687" customWidth="1"/>
    <col min="20" max="29" width="9.140625" style="687" hidden="1" customWidth="1" outlineLevel="1"/>
    <col min="30" max="31" width="10.140625" style="687" hidden="1" customWidth="1" outlineLevel="1"/>
    <col min="32" max="32" width="9.140625" style="687" customWidth="1" collapsed="1"/>
    <col min="33" max="33" width="11.140625" style="687" customWidth="1"/>
    <col min="34" max="45" width="11.140625" style="687" hidden="1" customWidth="1" outlineLevel="1"/>
    <col min="46" max="46" width="9.140625" style="687" customWidth="1" collapsed="1"/>
    <col min="47" max="47" width="11.140625" style="687" customWidth="1"/>
    <col min="48" max="59" width="11.140625" style="687" customWidth="1" outlineLevel="1"/>
    <col min="60" max="60" width="9.140625" style="687" customWidth="1"/>
    <col min="61" max="61" width="11.140625" style="687" customWidth="1"/>
    <col min="62" max="62" width="9.140625" style="687" bestFit="1" customWidth="1"/>
    <col min="63" max="63" width="10.140625" style="687" bestFit="1" customWidth="1"/>
    <col min="64" max="75" width="10.140625" style="687" customWidth="1"/>
    <col min="76" max="76" width="10.140625" style="687" bestFit="1" customWidth="1"/>
    <col min="77" max="16384" width="9.140625" style="687"/>
  </cols>
  <sheetData>
    <row r="1" spans="1:61" ht="17.649999999999999" customHeight="1">
      <c r="A1" s="3722" t="s">
        <v>604</v>
      </c>
      <c r="B1" s="3722"/>
      <c r="C1" s="3722"/>
      <c r="O1" s="686"/>
      <c r="AE1" s="686"/>
    </row>
    <row r="2" spans="1:61" ht="37.9" customHeight="1">
      <c r="A2" s="3769" t="s">
        <v>605</v>
      </c>
      <c r="B2" s="3769"/>
      <c r="C2" s="3769"/>
      <c r="F2" s="1339"/>
      <c r="G2" s="1339"/>
      <c r="H2" s="1339"/>
      <c r="I2" s="1339"/>
      <c r="J2" s="1339"/>
      <c r="K2" s="738"/>
      <c r="L2" s="738"/>
      <c r="M2" s="738"/>
      <c r="N2" s="738"/>
      <c r="O2" s="738"/>
      <c r="V2" s="1339"/>
      <c r="W2" s="1339"/>
      <c r="X2" s="1339"/>
      <c r="Y2" s="1339"/>
      <c r="Z2" s="1339"/>
      <c r="AA2" s="738"/>
      <c r="AB2" s="738"/>
      <c r="AC2" s="738"/>
      <c r="AD2" s="738"/>
      <c r="AE2" s="738"/>
    </row>
    <row r="3" spans="1:61" ht="14.65" customHeight="1" thickBot="1">
      <c r="A3" s="1512"/>
      <c r="B3" s="1512"/>
      <c r="C3" s="1512"/>
      <c r="D3" s="689"/>
      <c r="E3" s="689"/>
      <c r="F3" s="689"/>
      <c r="G3" s="689"/>
      <c r="H3" s="689"/>
      <c r="I3" s="689"/>
      <c r="J3" s="689"/>
      <c r="K3" s="689"/>
      <c r="L3" s="689"/>
      <c r="M3" s="689"/>
      <c r="N3" s="689"/>
      <c r="O3" s="689"/>
      <c r="P3" s="1428"/>
      <c r="Q3" s="1427"/>
      <c r="T3" s="689"/>
      <c r="U3" s="689"/>
      <c r="V3" s="689"/>
      <c r="W3" s="689"/>
      <c r="X3" s="689"/>
      <c r="Y3" s="689"/>
      <c r="Z3" s="689"/>
      <c r="AA3" s="689"/>
      <c r="AB3" s="689"/>
      <c r="AC3" s="689"/>
      <c r="AD3" s="689"/>
      <c r="AE3" s="689"/>
      <c r="AF3" s="1428"/>
      <c r="AG3" s="1427"/>
      <c r="AS3" s="689"/>
      <c r="AT3" s="1428"/>
      <c r="BG3" s="689"/>
      <c r="BH3" s="1428"/>
    </row>
    <row r="4" spans="1:61" ht="14.65" customHeight="1">
      <c r="A4" s="699"/>
      <c r="B4" s="1493" t="s">
        <v>12</v>
      </c>
      <c r="C4" s="1494" t="s">
        <v>13</v>
      </c>
      <c r="D4" s="3748" t="s">
        <v>14</v>
      </c>
      <c r="E4" s="3749"/>
      <c r="F4" s="3749"/>
      <c r="G4" s="3749"/>
      <c r="H4" s="3749"/>
      <c r="I4" s="3749"/>
      <c r="J4" s="3749"/>
      <c r="K4" s="3749"/>
      <c r="L4" s="3749"/>
      <c r="M4" s="3749"/>
      <c r="N4" s="3749"/>
      <c r="O4" s="3749"/>
      <c r="P4" s="3749"/>
      <c r="Q4" s="3750"/>
      <c r="R4" s="3759" t="s">
        <v>15</v>
      </c>
      <c r="S4" s="3760"/>
      <c r="T4" s="3748" t="s">
        <v>16</v>
      </c>
      <c r="U4" s="3749"/>
      <c r="V4" s="3749"/>
      <c r="W4" s="3749"/>
      <c r="X4" s="3749"/>
      <c r="Y4" s="3749"/>
      <c r="Z4" s="3749"/>
      <c r="AA4" s="3749"/>
      <c r="AB4" s="3749"/>
      <c r="AC4" s="3749"/>
      <c r="AD4" s="3749"/>
      <c r="AE4" s="3749"/>
      <c r="AF4" s="3749"/>
      <c r="AG4" s="3750"/>
      <c r="AH4" s="3754" t="s">
        <v>163</v>
      </c>
      <c r="AI4" s="3755"/>
      <c r="AJ4" s="3755"/>
      <c r="AK4" s="3755"/>
      <c r="AL4" s="3755"/>
      <c r="AM4" s="3755"/>
      <c r="AN4" s="3755"/>
      <c r="AO4" s="3755"/>
      <c r="AP4" s="3755"/>
      <c r="AQ4" s="3755"/>
      <c r="AR4" s="3755"/>
      <c r="AS4" s="3755"/>
      <c r="AT4" s="3755"/>
      <c r="AU4" s="3756"/>
      <c r="AV4" s="3754" t="s">
        <v>164</v>
      </c>
      <c r="AW4" s="3755"/>
      <c r="AX4" s="3755"/>
      <c r="AY4" s="3755"/>
      <c r="AZ4" s="3755"/>
      <c r="BA4" s="3755"/>
      <c r="BB4" s="3755"/>
      <c r="BC4" s="3755"/>
      <c r="BD4" s="3755"/>
      <c r="BE4" s="3755"/>
      <c r="BF4" s="3755"/>
      <c r="BG4" s="3755"/>
      <c r="BH4" s="3755"/>
      <c r="BI4" s="3756"/>
    </row>
    <row r="5" spans="1:61" ht="13.9" thickBot="1">
      <c r="A5" s="909" t="s">
        <v>606</v>
      </c>
      <c r="B5" s="1495"/>
      <c r="C5" s="1496"/>
      <c r="D5" s="1432">
        <v>43951</v>
      </c>
      <c r="E5" s="1431">
        <v>43982</v>
      </c>
      <c r="F5" s="1431">
        <v>44012</v>
      </c>
      <c r="G5" s="1431">
        <v>44043</v>
      </c>
      <c r="H5" s="1432">
        <v>44074</v>
      </c>
      <c r="I5" s="1431">
        <v>44104</v>
      </c>
      <c r="J5" s="1430">
        <v>44135</v>
      </c>
      <c r="K5" s="1431">
        <v>44165</v>
      </c>
      <c r="L5" s="1430">
        <v>44196</v>
      </c>
      <c r="M5" s="1431">
        <v>44227</v>
      </c>
      <c r="N5" s="1430">
        <v>44255</v>
      </c>
      <c r="O5" s="1432">
        <v>44286</v>
      </c>
      <c r="P5" s="1433" t="s">
        <v>607</v>
      </c>
      <c r="Q5" s="1423" t="s">
        <v>296</v>
      </c>
      <c r="R5" s="1436" t="s">
        <v>607</v>
      </c>
      <c r="S5" s="1437" t="s">
        <v>296</v>
      </c>
      <c r="T5" s="1432">
        <v>44681</v>
      </c>
      <c r="U5" s="1431">
        <v>44712</v>
      </c>
      <c r="V5" s="1431">
        <v>44742</v>
      </c>
      <c r="W5" s="1431">
        <v>44773</v>
      </c>
      <c r="X5" s="1432">
        <v>44804</v>
      </c>
      <c r="Y5" s="1431">
        <v>44834</v>
      </c>
      <c r="Z5" s="1430">
        <v>44865</v>
      </c>
      <c r="AA5" s="1431">
        <v>44895</v>
      </c>
      <c r="AB5" s="1430">
        <v>44926</v>
      </c>
      <c r="AC5" s="1431">
        <v>44957</v>
      </c>
      <c r="AD5" s="1430">
        <v>44985</v>
      </c>
      <c r="AE5" s="1432">
        <v>45016</v>
      </c>
      <c r="AF5" s="1433" t="s">
        <v>607</v>
      </c>
      <c r="AG5" s="1423" t="s">
        <v>296</v>
      </c>
      <c r="AH5" s="1434">
        <v>45030</v>
      </c>
      <c r="AI5" s="1435">
        <v>45062</v>
      </c>
      <c r="AJ5" s="1434">
        <v>45094</v>
      </c>
      <c r="AK5" s="1435">
        <v>45126</v>
      </c>
      <c r="AL5" s="1434">
        <v>45158</v>
      </c>
      <c r="AM5" s="1435">
        <v>45190</v>
      </c>
      <c r="AN5" s="1434">
        <v>45222</v>
      </c>
      <c r="AO5" s="1435">
        <v>45254</v>
      </c>
      <c r="AP5" s="1434">
        <v>45286</v>
      </c>
      <c r="AQ5" s="1435">
        <v>45318</v>
      </c>
      <c r="AR5" s="1434">
        <v>45350</v>
      </c>
      <c r="AS5" s="1435">
        <v>45382</v>
      </c>
      <c r="AT5" s="1436" t="s">
        <v>607</v>
      </c>
      <c r="AU5" s="1437" t="s">
        <v>296</v>
      </c>
      <c r="AV5" s="1434">
        <v>45396</v>
      </c>
      <c r="AW5" s="1435">
        <v>45428</v>
      </c>
      <c r="AX5" s="1434">
        <v>45460</v>
      </c>
      <c r="AY5" s="1434">
        <v>45492</v>
      </c>
      <c r="AZ5" s="1435">
        <v>45524</v>
      </c>
      <c r="BA5" s="1434">
        <v>45556</v>
      </c>
      <c r="BB5" s="1434">
        <v>45588</v>
      </c>
      <c r="BC5" s="1435">
        <v>45620</v>
      </c>
      <c r="BD5" s="1434">
        <v>45652</v>
      </c>
      <c r="BE5" s="1434">
        <v>45684</v>
      </c>
      <c r="BF5" s="1435">
        <v>45716</v>
      </c>
      <c r="BG5" s="1434">
        <v>45717</v>
      </c>
      <c r="BH5" s="1436" t="s">
        <v>607</v>
      </c>
      <c r="BI5" s="1437" t="s">
        <v>296</v>
      </c>
    </row>
    <row r="6" spans="1:61">
      <c r="A6" s="910" t="s">
        <v>251</v>
      </c>
      <c r="B6" s="1595" t="s">
        <v>252</v>
      </c>
      <c r="C6" s="1595" t="s">
        <v>252</v>
      </c>
      <c r="D6" s="519">
        <v>4390</v>
      </c>
      <c r="E6" s="513">
        <v>4333</v>
      </c>
      <c r="F6" s="513">
        <v>4318</v>
      </c>
      <c r="G6" s="516">
        <v>4272</v>
      </c>
      <c r="H6" s="514">
        <v>4199</v>
      </c>
      <c r="I6" s="513">
        <v>4124</v>
      </c>
      <c r="J6" s="516">
        <v>4061</v>
      </c>
      <c r="K6" s="517">
        <v>3977</v>
      </c>
      <c r="L6" s="513">
        <v>3546</v>
      </c>
      <c r="M6" s="516">
        <v>3469</v>
      </c>
      <c r="N6" s="513">
        <v>3432</v>
      </c>
      <c r="O6" s="1017">
        <v>3397</v>
      </c>
      <c r="P6" s="1381">
        <f>AVERAGE(D6:O6)</f>
        <v>3959.8333333333335</v>
      </c>
      <c r="Q6" s="1370">
        <f>P6/(P6+P7)</f>
        <v>0.63570081205099727</v>
      </c>
      <c r="R6" s="1343">
        <v>3129</v>
      </c>
      <c r="S6" s="1370">
        <f>R6/(R6+R7)</f>
        <v>0.64595375722543358</v>
      </c>
      <c r="T6" s="519">
        <v>3283</v>
      </c>
      <c r="U6" s="513">
        <v>3519</v>
      </c>
      <c r="V6" s="513">
        <v>3698</v>
      </c>
      <c r="W6" s="516">
        <v>3833</v>
      </c>
      <c r="X6" s="514">
        <v>3927</v>
      </c>
      <c r="Y6" s="513">
        <v>3885</v>
      </c>
      <c r="Z6" s="516">
        <v>3954</v>
      </c>
      <c r="AA6" s="517">
        <v>4009</v>
      </c>
      <c r="AB6" s="513">
        <v>4002</v>
      </c>
      <c r="AC6" s="516">
        <v>4071</v>
      </c>
      <c r="AD6" s="513">
        <v>4118</v>
      </c>
      <c r="AE6" s="1017">
        <v>4194</v>
      </c>
      <c r="AF6" s="1381">
        <f>AVERAGE(T6:AE6)</f>
        <v>3874.4166666666665</v>
      </c>
      <c r="AG6" s="1370">
        <f>AF6/(AF6+AF7)</f>
        <v>0.65453598378195743</v>
      </c>
      <c r="AH6" s="1410">
        <v>4282</v>
      </c>
      <c r="AI6" s="1409">
        <v>4358</v>
      </c>
      <c r="AJ6" s="1058">
        <v>4376</v>
      </c>
      <c r="AK6" s="1057">
        <v>4443</v>
      </c>
      <c r="AL6" s="1059">
        <v>4453</v>
      </c>
      <c r="AM6" s="1058">
        <v>4455</v>
      </c>
      <c r="AN6" s="1057">
        <v>4515</v>
      </c>
      <c r="AO6" s="1056">
        <v>4565</v>
      </c>
      <c r="AP6" s="1058">
        <v>4532</v>
      </c>
      <c r="AQ6" s="1057">
        <v>4580</v>
      </c>
      <c r="AR6" s="1056">
        <v>4647</v>
      </c>
      <c r="AS6" s="1062">
        <v>4716</v>
      </c>
      <c r="AT6" s="1343">
        <f>AVERAGE(AH6:AS6)</f>
        <v>4493.5</v>
      </c>
      <c r="AU6" s="1370">
        <f>AT6/(AT6+AT7)</f>
        <v>0.64256348534861818</v>
      </c>
      <c r="AV6" s="1410">
        <v>5035</v>
      </c>
      <c r="AW6" s="1409">
        <v>5061</v>
      </c>
      <c r="AX6" s="1058">
        <v>5118</v>
      </c>
      <c r="AY6" s="1057">
        <v>5207</v>
      </c>
      <c r="AZ6" s="1057">
        <v>5232</v>
      </c>
      <c r="BA6" s="1058">
        <v>5276</v>
      </c>
      <c r="BB6" s="1057">
        <v>5304</v>
      </c>
      <c r="BC6" s="1057">
        <v>5369</v>
      </c>
      <c r="BD6" s="1058">
        <v>5343</v>
      </c>
      <c r="BE6" s="1057">
        <v>5348</v>
      </c>
      <c r="BF6" s="1056">
        <v>5365</v>
      </c>
      <c r="BG6" s="1062">
        <v>5446</v>
      </c>
      <c r="BH6" s="1343">
        <v>5258.67</v>
      </c>
      <c r="BI6" s="1370">
        <v>0.63</v>
      </c>
    </row>
    <row r="7" spans="1:61" ht="12.6" thickBot="1">
      <c r="A7" s="911" t="s">
        <v>253</v>
      </c>
      <c r="B7" s="1596" t="s">
        <v>252</v>
      </c>
      <c r="C7" s="1597" t="s">
        <v>252</v>
      </c>
      <c r="D7" s="1450">
        <v>2572</v>
      </c>
      <c r="E7" s="1027">
        <v>2532</v>
      </c>
      <c r="F7" s="1025">
        <v>2522</v>
      </c>
      <c r="G7" s="1027">
        <v>2496</v>
      </c>
      <c r="H7" s="1026">
        <v>2449</v>
      </c>
      <c r="I7" s="1024">
        <v>2404</v>
      </c>
      <c r="J7" s="1028">
        <v>2366</v>
      </c>
      <c r="K7" s="1027">
        <v>2289</v>
      </c>
      <c r="L7" s="1024">
        <v>1954</v>
      </c>
      <c r="M7" s="1027">
        <v>1924</v>
      </c>
      <c r="N7" s="1024">
        <v>1869</v>
      </c>
      <c r="O7" s="1450">
        <v>1854</v>
      </c>
      <c r="P7" s="1384">
        <f>AVERAGE(D7:O7)</f>
        <v>2269.25</v>
      </c>
      <c r="Q7" s="1372">
        <f>P7/(P6+P7)</f>
        <v>0.36429918794900262</v>
      </c>
      <c r="R7" s="1358">
        <v>1715</v>
      </c>
      <c r="S7" s="1372">
        <f>R7/(R6+R7)</f>
        <v>0.35404624277456648</v>
      </c>
      <c r="T7" s="1450">
        <v>1790</v>
      </c>
      <c r="U7" s="1027">
        <v>1891</v>
      </c>
      <c r="V7" s="1025">
        <v>1965</v>
      </c>
      <c r="W7" s="1027">
        <v>2022</v>
      </c>
      <c r="X7" s="1026">
        <v>2034</v>
      </c>
      <c r="Y7" s="1024">
        <v>2027</v>
      </c>
      <c r="Z7" s="1028">
        <v>2065</v>
      </c>
      <c r="AA7" s="1027">
        <v>2099</v>
      </c>
      <c r="AB7" s="1024">
        <v>2092</v>
      </c>
      <c r="AC7" s="1027">
        <v>2153</v>
      </c>
      <c r="AD7" s="1024">
        <v>2187</v>
      </c>
      <c r="AE7" s="1450">
        <v>2214</v>
      </c>
      <c r="AF7" s="1384">
        <f>AVERAGE(T7:AE7)</f>
        <v>2044.9166666666667</v>
      </c>
      <c r="AG7" s="1372">
        <f>AF7/(AF6+AF7)</f>
        <v>0.34546401621804262</v>
      </c>
      <c r="AH7" s="1411">
        <v>2277</v>
      </c>
      <c r="AI7" s="1355">
        <v>2373</v>
      </c>
      <c r="AJ7" s="1354">
        <v>2410</v>
      </c>
      <c r="AK7" s="1353">
        <v>2481</v>
      </c>
      <c r="AL7" s="1354">
        <v>2495</v>
      </c>
      <c r="AM7" s="1356">
        <v>2493</v>
      </c>
      <c r="AN7" s="1353">
        <v>2522</v>
      </c>
      <c r="AO7" s="1355">
        <v>2558</v>
      </c>
      <c r="AP7" s="1354">
        <v>2541</v>
      </c>
      <c r="AQ7" s="1353">
        <v>2592</v>
      </c>
      <c r="AR7" s="1353">
        <v>2611</v>
      </c>
      <c r="AS7" s="1357">
        <v>2642</v>
      </c>
      <c r="AT7" s="1358">
        <f>AVERAGE(AH7:AS7)</f>
        <v>2499.5833333333335</v>
      </c>
      <c r="AU7" s="1372">
        <f>AT7/(AT6+AT7)</f>
        <v>0.35743651465138171</v>
      </c>
      <c r="AV7" s="1411">
        <v>2898</v>
      </c>
      <c r="AW7" s="1355">
        <v>2971</v>
      </c>
      <c r="AX7" s="1354">
        <v>2987</v>
      </c>
      <c r="AY7" s="1353">
        <v>3048</v>
      </c>
      <c r="AZ7" s="1354">
        <v>3064</v>
      </c>
      <c r="BA7" s="1356">
        <v>3106</v>
      </c>
      <c r="BB7" s="1353">
        <v>3107</v>
      </c>
      <c r="BC7" s="1354">
        <v>3157</v>
      </c>
      <c r="BD7" s="1354">
        <v>3152</v>
      </c>
      <c r="BE7" s="1353">
        <v>3188</v>
      </c>
      <c r="BF7" s="1353">
        <v>3196</v>
      </c>
      <c r="BG7" s="1357">
        <v>3261</v>
      </c>
      <c r="BH7" s="1358">
        <v>3094.58</v>
      </c>
      <c r="BI7" s="1372">
        <v>0.37</v>
      </c>
    </row>
    <row r="8" spans="1:61">
      <c r="A8" s="699"/>
      <c r="B8" s="1442"/>
      <c r="C8" s="1442"/>
      <c r="D8" s="690"/>
      <c r="E8" s="690"/>
      <c r="F8" s="690"/>
      <c r="G8" s="690"/>
      <c r="H8" s="690"/>
      <c r="I8" s="690"/>
      <c r="J8" s="690"/>
      <c r="K8" s="690"/>
      <c r="L8" s="690"/>
      <c r="M8" s="690"/>
      <c r="N8" s="690"/>
      <c r="O8" s="690"/>
      <c r="P8" s="1359"/>
      <c r="Q8" s="1380"/>
      <c r="R8" s="690"/>
      <c r="S8" s="1283"/>
      <c r="T8" s="690"/>
      <c r="U8" s="690"/>
      <c r="V8" s="690"/>
      <c r="W8" s="690"/>
      <c r="X8" s="690"/>
      <c r="Y8" s="690"/>
      <c r="Z8" s="690"/>
      <c r="AA8" s="690"/>
      <c r="AB8" s="690"/>
      <c r="AC8" s="690"/>
      <c r="AD8" s="690"/>
      <c r="AE8" s="690"/>
      <c r="AF8" s="1359"/>
      <c r="AG8" s="1380"/>
      <c r="AH8" s="690"/>
      <c r="AI8" s="690"/>
      <c r="AJ8" s="690"/>
      <c r="AK8" s="690"/>
      <c r="AL8" s="690"/>
      <c r="AM8" s="690"/>
      <c r="AN8" s="690"/>
      <c r="AO8" s="690"/>
      <c r="AP8" s="690"/>
      <c r="AQ8" s="690"/>
      <c r="AR8" s="690"/>
      <c r="AS8" s="690"/>
      <c r="AT8" s="690"/>
      <c r="AU8" s="1283"/>
      <c r="AV8" s="690"/>
      <c r="AW8" s="690"/>
      <c r="AX8" s="690"/>
      <c r="AY8" s="690"/>
      <c r="AZ8" s="690"/>
      <c r="BA8" s="690"/>
      <c r="BB8" s="690"/>
      <c r="BC8" s="690"/>
      <c r="BD8" s="690"/>
      <c r="BE8" s="690"/>
      <c r="BF8" s="690"/>
      <c r="BG8" s="690"/>
      <c r="BH8" s="690"/>
      <c r="BI8" s="1283"/>
    </row>
    <row r="9" spans="1:61" ht="13.15">
      <c r="A9" s="909" t="s">
        <v>606</v>
      </c>
      <c r="B9" s="1443" t="s">
        <v>607</v>
      </c>
      <c r="C9" s="1443" t="s">
        <v>607</v>
      </c>
      <c r="D9" s="1022">
        <v>43951</v>
      </c>
      <c r="E9" s="1020">
        <v>43982</v>
      </c>
      <c r="F9" s="1020">
        <v>44012</v>
      </c>
      <c r="G9" s="1020">
        <v>44043</v>
      </c>
      <c r="H9" s="1022">
        <v>44074</v>
      </c>
      <c r="I9" s="1020">
        <v>44104</v>
      </c>
      <c r="J9" s="1021">
        <v>44135</v>
      </c>
      <c r="K9" s="1020">
        <v>44165</v>
      </c>
      <c r="L9" s="1021">
        <v>44196</v>
      </c>
      <c r="M9" s="1020">
        <v>44227</v>
      </c>
      <c r="N9" s="1021">
        <v>44255</v>
      </c>
      <c r="O9" s="1023">
        <v>44286</v>
      </c>
      <c r="P9" s="1451" t="s">
        <v>607</v>
      </c>
      <c r="Q9" s="1390" t="s">
        <v>296</v>
      </c>
      <c r="R9" s="1342" t="s">
        <v>607</v>
      </c>
      <c r="S9" s="1341" t="s">
        <v>296</v>
      </c>
      <c r="T9" s="1022">
        <v>44681</v>
      </c>
      <c r="U9" s="1020">
        <v>44712</v>
      </c>
      <c r="V9" s="1020">
        <v>44742</v>
      </c>
      <c r="W9" s="1020">
        <v>44773</v>
      </c>
      <c r="X9" s="1022">
        <v>44804</v>
      </c>
      <c r="Y9" s="1020">
        <v>44834</v>
      </c>
      <c r="Z9" s="1021">
        <v>44865</v>
      </c>
      <c r="AA9" s="1020">
        <v>44895</v>
      </c>
      <c r="AB9" s="1021">
        <v>44926</v>
      </c>
      <c r="AC9" s="1020">
        <v>44957</v>
      </c>
      <c r="AD9" s="1021">
        <v>44985</v>
      </c>
      <c r="AE9" s="1023">
        <v>45016</v>
      </c>
      <c r="AF9" s="1451" t="s">
        <v>607</v>
      </c>
      <c r="AG9" s="1390" t="s">
        <v>296</v>
      </c>
      <c r="AH9" s="1029">
        <v>45030</v>
      </c>
      <c r="AI9" s="1030">
        <v>45062</v>
      </c>
      <c r="AJ9" s="1029">
        <v>45094</v>
      </c>
      <c r="AK9" s="1030">
        <v>45126</v>
      </c>
      <c r="AL9" s="1029">
        <v>45158</v>
      </c>
      <c r="AM9" s="1030">
        <v>45190</v>
      </c>
      <c r="AN9" s="1029">
        <v>45222</v>
      </c>
      <c r="AO9" s="1030">
        <v>45254</v>
      </c>
      <c r="AP9" s="1029">
        <v>45286</v>
      </c>
      <c r="AQ9" s="1030">
        <v>45318</v>
      </c>
      <c r="AR9" s="1029">
        <v>45350</v>
      </c>
      <c r="AS9" s="1030">
        <v>45382</v>
      </c>
      <c r="AT9" s="1342" t="s">
        <v>607</v>
      </c>
      <c r="AU9" s="2062" t="s">
        <v>296</v>
      </c>
      <c r="AV9" s="2061">
        <v>45396</v>
      </c>
      <c r="AW9" s="908">
        <v>45428</v>
      </c>
      <c r="AX9" s="907">
        <v>45460</v>
      </c>
      <c r="AY9" s="907">
        <v>45492</v>
      </c>
      <c r="AZ9" s="908">
        <v>45524</v>
      </c>
      <c r="BA9" s="907">
        <v>45556</v>
      </c>
      <c r="BB9" s="907">
        <v>45588</v>
      </c>
      <c r="BC9" s="908">
        <v>45620</v>
      </c>
      <c r="BD9" s="907">
        <v>45652</v>
      </c>
      <c r="BE9" s="907">
        <v>45684</v>
      </c>
      <c r="BF9" s="908">
        <v>45716</v>
      </c>
      <c r="BG9" s="1434">
        <v>45717</v>
      </c>
      <c r="BH9" s="2064" t="s">
        <v>607</v>
      </c>
      <c r="BI9" s="2040" t="s">
        <v>296</v>
      </c>
    </row>
    <row r="10" spans="1:61">
      <c r="A10" s="910" t="s">
        <v>274</v>
      </c>
      <c r="B10" s="1595" t="s">
        <v>252</v>
      </c>
      <c r="C10" s="1595" t="s">
        <v>252</v>
      </c>
      <c r="D10" s="519">
        <v>689</v>
      </c>
      <c r="E10" s="513">
        <v>672</v>
      </c>
      <c r="F10" s="513">
        <v>671</v>
      </c>
      <c r="G10" s="514">
        <v>663</v>
      </c>
      <c r="H10" s="514">
        <v>648</v>
      </c>
      <c r="I10" s="514">
        <v>624</v>
      </c>
      <c r="J10" s="514">
        <v>615</v>
      </c>
      <c r="K10" s="514">
        <v>585</v>
      </c>
      <c r="L10" s="514">
        <v>558</v>
      </c>
      <c r="M10" s="514">
        <v>554</v>
      </c>
      <c r="N10" s="513">
        <v>568</v>
      </c>
      <c r="O10" s="518">
        <v>572</v>
      </c>
      <c r="P10" s="1452">
        <f>AVERAGE(D10:O10)</f>
        <v>618.25</v>
      </c>
      <c r="Q10" s="1366">
        <f>P10/SUM($P$10:$P$17)</f>
        <v>9.925216390854727E-2</v>
      </c>
      <c r="R10" s="1345">
        <v>537</v>
      </c>
      <c r="S10" s="1366">
        <f>R10/SUM($R$10:$R$17)</f>
        <v>0.10648423557406306</v>
      </c>
      <c r="T10" s="519">
        <v>576</v>
      </c>
      <c r="U10" s="513">
        <v>607</v>
      </c>
      <c r="V10" s="513">
        <v>638</v>
      </c>
      <c r="W10" s="514">
        <v>660</v>
      </c>
      <c r="X10" s="514">
        <v>667</v>
      </c>
      <c r="Y10" s="514">
        <v>657</v>
      </c>
      <c r="Z10" s="514">
        <v>656</v>
      </c>
      <c r="AA10" s="514">
        <v>663</v>
      </c>
      <c r="AB10" s="514">
        <v>667</v>
      </c>
      <c r="AC10" s="514">
        <v>694</v>
      </c>
      <c r="AD10" s="513">
        <v>716</v>
      </c>
      <c r="AE10" s="518">
        <v>746</v>
      </c>
      <c r="AF10" s="1452">
        <f>AVERAGE(T10:AE10)</f>
        <v>662.25</v>
      </c>
      <c r="AG10" s="1366">
        <f>AF10/SUM($AF$10:$AF$17)</f>
        <v>0.11188230325214697</v>
      </c>
      <c r="AH10" s="1414">
        <v>790</v>
      </c>
      <c r="AI10" s="1409">
        <v>800</v>
      </c>
      <c r="AJ10" s="1056">
        <v>798</v>
      </c>
      <c r="AK10" s="1056">
        <v>802</v>
      </c>
      <c r="AL10" s="1056">
        <v>798</v>
      </c>
      <c r="AM10" s="1056">
        <v>790</v>
      </c>
      <c r="AN10" s="1056">
        <v>799</v>
      </c>
      <c r="AO10" s="1056">
        <v>798</v>
      </c>
      <c r="AP10" s="1056">
        <v>797</v>
      </c>
      <c r="AQ10" s="1056">
        <v>801</v>
      </c>
      <c r="AR10" s="1057">
        <v>827</v>
      </c>
      <c r="AS10" s="1055">
        <v>849</v>
      </c>
      <c r="AT10" s="1345">
        <f>AVERAGE(AH10:AS10)</f>
        <v>804.08333333333337</v>
      </c>
      <c r="AU10" s="1514">
        <f t="shared" ref="AU10:AU17" si="0">AT10/SUM($AT$10:$AT$17)</f>
        <v>0.11561226935058713</v>
      </c>
      <c r="AV10" s="2956">
        <v>832</v>
      </c>
      <c r="AW10" s="1409">
        <v>835</v>
      </c>
      <c r="AX10" s="1056">
        <v>830</v>
      </c>
      <c r="AY10" s="1056">
        <v>843</v>
      </c>
      <c r="AZ10" s="1056">
        <v>838</v>
      </c>
      <c r="BA10" s="1056">
        <v>824</v>
      </c>
      <c r="BB10" s="1056">
        <v>819</v>
      </c>
      <c r="BC10" s="1056">
        <v>810</v>
      </c>
      <c r="BD10" s="1056">
        <v>803</v>
      </c>
      <c r="BE10" s="1056">
        <v>818</v>
      </c>
      <c r="BF10" s="1057">
        <v>845</v>
      </c>
      <c r="BG10" s="1055">
        <v>845</v>
      </c>
      <c r="BH10" s="1345">
        <v>828.5</v>
      </c>
      <c r="BI10" s="2065">
        <v>9.9000000000000005E-2</v>
      </c>
    </row>
    <row r="11" spans="1:61">
      <c r="A11" s="912" t="s">
        <v>278</v>
      </c>
      <c r="B11" s="1598" t="s">
        <v>252</v>
      </c>
      <c r="C11" s="1598" t="s">
        <v>252</v>
      </c>
      <c r="D11" s="518">
        <v>2213</v>
      </c>
      <c r="E11" s="188">
        <v>2180</v>
      </c>
      <c r="F11" s="188">
        <v>2172</v>
      </c>
      <c r="G11" s="515">
        <v>2155</v>
      </c>
      <c r="H11" s="515">
        <v>2129</v>
      </c>
      <c r="I11" s="515">
        <v>2114</v>
      </c>
      <c r="J11" s="515">
        <v>2087</v>
      </c>
      <c r="K11" s="515">
        <v>2052</v>
      </c>
      <c r="L11" s="515">
        <v>1617</v>
      </c>
      <c r="M11" s="515">
        <v>1591</v>
      </c>
      <c r="N11" s="188">
        <v>1556</v>
      </c>
      <c r="O11" s="518">
        <v>1553</v>
      </c>
      <c r="P11" s="1452">
        <f t="shared" ref="P11:P17" si="1">AVERAGE(D11:O11)</f>
        <v>1951.5833333333333</v>
      </c>
      <c r="Q11" s="1366">
        <f t="shared" ref="Q11:Q17" si="2">P11/SUM($P$10:$P$17)</f>
        <v>0.31330185019197582</v>
      </c>
      <c r="R11" s="1345">
        <v>1640</v>
      </c>
      <c r="S11" s="1366">
        <f t="shared" ref="S11:S17" si="3">R11/SUM($R$10:$R$17)</f>
        <v>0.32520325203252032</v>
      </c>
      <c r="T11" s="518">
        <v>1726</v>
      </c>
      <c r="U11" s="188">
        <v>1810</v>
      </c>
      <c r="V11" s="188">
        <v>1875</v>
      </c>
      <c r="W11" s="515">
        <v>1903</v>
      </c>
      <c r="X11" s="515">
        <v>1906</v>
      </c>
      <c r="Y11" s="515">
        <v>1916</v>
      </c>
      <c r="Z11" s="515">
        <v>1932</v>
      </c>
      <c r="AA11" s="515">
        <v>1965</v>
      </c>
      <c r="AB11" s="515">
        <v>1953</v>
      </c>
      <c r="AC11" s="515">
        <v>1978</v>
      </c>
      <c r="AD11" s="188">
        <v>1981</v>
      </c>
      <c r="AE11" s="518">
        <v>2011</v>
      </c>
      <c r="AF11" s="1452">
        <f t="shared" ref="AF11:AF17" si="4">AVERAGE(T11:AE11)</f>
        <v>1913</v>
      </c>
      <c r="AG11" s="1366">
        <f t="shared" ref="AG11:AG17" si="5">AF11/SUM($AF$10:$AF$17)</f>
        <v>0.32318738561171334</v>
      </c>
      <c r="AH11" s="1415">
        <v>2054</v>
      </c>
      <c r="AI11" s="1412">
        <v>2099</v>
      </c>
      <c r="AJ11" s="1064">
        <v>2105</v>
      </c>
      <c r="AK11" s="1064">
        <v>2108</v>
      </c>
      <c r="AL11" s="1064">
        <v>2098</v>
      </c>
      <c r="AM11" s="1064">
        <v>2118</v>
      </c>
      <c r="AN11" s="1064">
        <v>2163</v>
      </c>
      <c r="AO11" s="1064">
        <v>2173</v>
      </c>
      <c r="AP11" s="1064">
        <v>2169</v>
      </c>
      <c r="AQ11" s="1064">
        <v>2211</v>
      </c>
      <c r="AR11" s="1065">
        <v>2241</v>
      </c>
      <c r="AS11" s="1063">
        <v>2293</v>
      </c>
      <c r="AT11" s="1345">
        <f t="shared" ref="AT11:AT17" si="6">AVERAGE(AH11:AS11)</f>
        <v>2152.6666666666665</v>
      </c>
      <c r="AU11" s="1514">
        <f t="shared" si="0"/>
        <v>0.30951353942008147</v>
      </c>
      <c r="AV11" s="2957">
        <v>2283</v>
      </c>
      <c r="AW11" s="1412">
        <v>2343</v>
      </c>
      <c r="AX11" s="1064">
        <v>2362</v>
      </c>
      <c r="AY11" s="1064">
        <v>2425</v>
      </c>
      <c r="AZ11" s="1064">
        <v>2456</v>
      </c>
      <c r="BA11" s="1064">
        <v>2497</v>
      </c>
      <c r="BB11" s="1064">
        <v>2506</v>
      </c>
      <c r="BC11" s="1064">
        <v>2551</v>
      </c>
      <c r="BD11" s="1064">
        <v>2556</v>
      </c>
      <c r="BE11" s="1064">
        <v>2552</v>
      </c>
      <c r="BF11" s="1065">
        <v>2534</v>
      </c>
      <c r="BG11" s="1063">
        <v>2537</v>
      </c>
      <c r="BH11" s="1345">
        <v>2466.83</v>
      </c>
      <c r="BI11" s="2065">
        <v>0.29499999999999998</v>
      </c>
    </row>
    <row r="12" spans="1:61">
      <c r="A12" s="912" t="s">
        <v>279</v>
      </c>
      <c r="B12" s="1598" t="s">
        <v>252</v>
      </c>
      <c r="C12" s="1598" t="s">
        <v>252</v>
      </c>
      <c r="D12" s="518">
        <v>4048</v>
      </c>
      <c r="E12" s="188">
        <v>4001</v>
      </c>
      <c r="F12" s="188">
        <v>3985</v>
      </c>
      <c r="G12" s="515">
        <v>3938</v>
      </c>
      <c r="H12" s="515">
        <v>3859</v>
      </c>
      <c r="I12" s="515">
        <v>3778</v>
      </c>
      <c r="J12" s="515">
        <v>3715</v>
      </c>
      <c r="K12" s="515">
        <v>3619</v>
      </c>
      <c r="L12" s="515">
        <v>3315</v>
      </c>
      <c r="M12" s="515">
        <v>3238</v>
      </c>
      <c r="N12" s="188">
        <v>3168</v>
      </c>
      <c r="O12" s="518">
        <v>3117</v>
      </c>
      <c r="P12" s="1452">
        <f t="shared" si="1"/>
        <v>3648.4166666666665</v>
      </c>
      <c r="Q12" s="1366">
        <f t="shared" si="2"/>
        <v>0.58570683219842401</v>
      </c>
      <c r="R12" s="1345">
        <v>2658</v>
      </c>
      <c r="S12" s="1366">
        <f t="shared" si="3"/>
        <v>0.52706722189173116</v>
      </c>
      <c r="T12" s="518">
        <v>2757</v>
      </c>
      <c r="U12" s="188">
        <v>2981</v>
      </c>
      <c r="V12" s="188">
        <v>3139</v>
      </c>
      <c r="W12" s="515">
        <v>3279</v>
      </c>
      <c r="X12" s="515">
        <v>3378</v>
      </c>
      <c r="Y12" s="515">
        <v>3328</v>
      </c>
      <c r="Z12" s="515">
        <v>3418</v>
      </c>
      <c r="AA12" s="515">
        <v>3467</v>
      </c>
      <c r="AB12" s="515">
        <v>3461</v>
      </c>
      <c r="AC12" s="515">
        <v>3534</v>
      </c>
      <c r="AD12" s="188">
        <v>3590</v>
      </c>
      <c r="AE12" s="518">
        <v>3634</v>
      </c>
      <c r="AF12" s="1452">
        <f t="shared" si="4"/>
        <v>3330.5</v>
      </c>
      <c r="AG12" s="1366">
        <f t="shared" si="5"/>
        <v>0.56266366324088413</v>
      </c>
      <c r="AH12" s="1415">
        <v>3697</v>
      </c>
      <c r="AI12" s="1412">
        <v>3786</v>
      </c>
      <c r="AJ12" s="1064">
        <v>3837</v>
      </c>
      <c r="AK12" s="1064">
        <v>3950</v>
      </c>
      <c r="AL12" s="1064">
        <v>3984</v>
      </c>
      <c r="AM12" s="1064">
        <v>3974</v>
      </c>
      <c r="AN12" s="1064">
        <v>4012</v>
      </c>
      <c r="AO12" s="1064">
        <v>4090</v>
      </c>
      <c r="AP12" s="1064">
        <v>4049</v>
      </c>
      <c r="AQ12" s="1064">
        <v>4102</v>
      </c>
      <c r="AR12" s="1065">
        <v>4130</v>
      </c>
      <c r="AS12" s="1063">
        <v>4151</v>
      </c>
      <c r="AT12" s="1345">
        <f t="shared" si="6"/>
        <v>3980.1666666666665</v>
      </c>
      <c r="AU12" s="1514">
        <f t="shared" si="0"/>
        <v>0.57227414330218074</v>
      </c>
      <c r="AV12" s="2957">
        <v>3896</v>
      </c>
      <c r="AW12" s="1412">
        <v>3910</v>
      </c>
      <c r="AX12" s="1064">
        <v>3960</v>
      </c>
      <c r="AY12" s="1064">
        <v>4017</v>
      </c>
      <c r="AZ12" s="1064">
        <v>4027</v>
      </c>
      <c r="BA12" s="1064">
        <v>4102</v>
      </c>
      <c r="BB12" s="1064">
        <v>4158</v>
      </c>
      <c r="BC12" s="1064">
        <v>4229</v>
      </c>
      <c r="BD12" s="1064">
        <v>4198</v>
      </c>
      <c r="BE12" s="1064">
        <v>4227</v>
      </c>
      <c r="BF12" s="1065">
        <v>4221</v>
      </c>
      <c r="BG12" s="1063">
        <v>4328</v>
      </c>
      <c r="BH12" s="1345">
        <v>4106.08</v>
      </c>
      <c r="BI12" s="2065">
        <v>0.49199999999999999</v>
      </c>
    </row>
    <row r="13" spans="1:61">
      <c r="A13" s="912" t="s">
        <v>176</v>
      </c>
      <c r="B13" s="1598"/>
      <c r="C13" s="1598"/>
      <c r="D13" s="518"/>
      <c r="E13" s="188"/>
      <c r="F13" s="188"/>
      <c r="G13" s="515"/>
      <c r="H13" s="515"/>
      <c r="I13" s="515"/>
      <c r="J13" s="515"/>
      <c r="K13" s="515"/>
      <c r="L13" s="515"/>
      <c r="M13" s="515"/>
      <c r="N13" s="188"/>
      <c r="O13" s="518"/>
      <c r="P13" s="1452"/>
      <c r="Q13" s="1366"/>
      <c r="R13" s="1345"/>
      <c r="S13" s="1366"/>
      <c r="T13" s="518"/>
      <c r="U13" s="188"/>
      <c r="V13" s="188"/>
      <c r="W13" s="515"/>
      <c r="X13" s="515"/>
      <c r="Y13" s="515"/>
      <c r="Z13" s="515"/>
      <c r="AA13" s="515"/>
      <c r="AB13" s="515"/>
      <c r="AC13" s="515"/>
      <c r="AD13" s="188"/>
      <c r="AE13" s="518"/>
      <c r="AF13" s="1452"/>
      <c r="AG13" s="1366"/>
      <c r="AH13" s="1415"/>
      <c r="AI13" s="1412"/>
      <c r="AJ13" s="1064"/>
      <c r="AK13" s="1064"/>
      <c r="AL13" s="1064"/>
      <c r="AM13" s="1064"/>
      <c r="AN13" s="1064"/>
      <c r="AO13" s="1064"/>
      <c r="AP13" s="1064"/>
      <c r="AQ13" s="1064"/>
      <c r="AR13" s="1065"/>
      <c r="AS13" s="1063"/>
      <c r="AT13" s="1345"/>
      <c r="AU13" s="1514"/>
      <c r="AV13" s="2957">
        <v>565</v>
      </c>
      <c r="AW13" s="1412">
        <v>579</v>
      </c>
      <c r="AX13" s="1064">
        <v>589</v>
      </c>
      <c r="AY13" s="1064">
        <v>598</v>
      </c>
      <c r="AZ13" s="1064">
        <v>600</v>
      </c>
      <c r="BA13" s="1064">
        <v>597</v>
      </c>
      <c r="BB13" s="1064">
        <v>554</v>
      </c>
      <c r="BC13" s="1064">
        <v>542</v>
      </c>
      <c r="BD13" s="1064">
        <v>537</v>
      </c>
      <c r="BE13" s="1064">
        <v>544</v>
      </c>
      <c r="BF13" s="1065">
        <v>546</v>
      </c>
      <c r="BG13" s="1063">
        <v>562</v>
      </c>
      <c r="BH13" s="1345">
        <v>567.75</v>
      </c>
      <c r="BI13" s="2065">
        <v>6.8000000000000005E-2</v>
      </c>
    </row>
    <row r="14" spans="1:61">
      <c r="A14" s="912" t="s">
        <v>177</v>
      </c>
      <c r="B14" s="1598" t="s">
        <v>252</v>
      </c>
      <c r="C14" s="1598" t="s">
        <v>252</v>
      </c>
      <c r="D14" s="518">
        <v>9</v>
      </c>
      <c r="E14" s="188">
        <v>9</v>
      </c>
      <c r="F14" s="188">
        <v>9</v>
      </c>
      <c r="G14" s="515">
        <v>10</v>
      </c>
      <c r="H14" s="515">
        <v>10</v>
      </c>
      <c r="I14" s="515">
        <v>10</v>
      </c>
      <c r="J14" s="515">
        <v>9</v>
      </c>
      <c r="K14" s="515">
        <v>8</v>
      </c>
      <c r="L14" s="515">
        <v>8</v>
      </c>
      <c r="M14" s="515">
        <v>8</v>
      </c>
      <c r="N14" s="188">
        <v>8</v>
      </c>
      <c r="O14" s="518">
        <v>8</v>
      </c>
      <c r="P14" s="1452">
        <f t="shared" si="1"/>
        <v>8.8333333333333339</v>
      </c>
      <c r="Q14" s="1366">
        <f t="shared" si="2"/>
        <v>1.4180791716277143E-3</v>
      </c>
      <c r="R14" s="1345">
        <v>9</v>
      </c>
      <c r="S14" s="1366">
        <f t="shared" si="3"/>
        <v>1.784651992861392E-3</v>
      </c>
      <c r="T14" s="518">
        <v>9</v>
      </c>
      <c r="U14" s="188">
        <v>9</v>
      </c>
      <c r="V14" s="188">
        <v>9</v>
      </c>
      <c r="W14" s="515">
        <v>9</v>
      </c>
      <c r="X14" s="515">
        <v>9</v>
      </c>
      <c r="Y14" s="515">
        <v>9</v>
      </c>
      <c r="Z14" s="515">
        <v>10</v>
      </c>
      <c r="AA14" s="515">
        <v>9</v>
      </c>
      <c r="AB14" s="515">
        <v>9</v>
      </c>
      <c r="AC14" s="515">
        <v>9</v>
      </c>
      <c r="AD14" s="188">
        <v>9</v>
      </c>
      <c r="AE14" s="518">
        <v>8</v>
      </c>
      <c r="AF14" s="1452">
        <f t="shared" si="4"/>
        <v>9</v>
      </c>
      <c r="AG14" s="1366">
        <f t="shared" si="5"/>
        <v>1.5204843024074334E-3</v>
      </c>
      <c r="AH14" s="1415">
        <v>8</v>
      </c>
      <c r="AI14" s="1412">
        <v>8</v>
      </c>
      <c r="AJ14" s="1064">
        <v>8</v>
      </c>
      <c r="AK14" s="1064">
        <v>10</v>
      </c>
      <c r="AL14" s="1064">
        <v>9</v>
      </c>
      <c r="AM14" s="1064">
        <v>9</v>
      </c>
      <c r="AN14" s="1064">
        <v>9</v>
      </c>
      <c r="AO14" s="1064">
        <v>9</v>
      </c>
      <c r="AP14" s="1064">
        <v>9</v>
      </c>
      <c r="AQ14" s="1064">
        <v>9</v>
      </c>
      <c r="AR14" s="1065">
        <v>10</v>
      </c>
      <c r="AS14" s="1063">
        <v>10</v>
      </c>
      <c r="AT14" s="1345">
        <f t="shared" si="6"/>
        <v>9</v>
      </c>
      <c r="AU14" s="1514">
        <f t="shared" si="0"/>
        <v>1.2940330697340046E-3</v>
      </c>
      <c r="AV14" s="2957">
        <v>8</v>
      </c>
      <c r="AW14" s="1412">
        <v>8</v>
      </c>
      <c r="AX14" s="1064">
        <v>10</v>
      </c>
      <c r="AY14" s="1064">
        <v>11</v>
      </c>
      <c r="AZ14" s="1064">
        <v>11</v>
      </c>
      <c r="BA14" s="1064">
        <v>11</v>
      </c>
      <c r="BB14" s="1064">
        <v>11</v>
      </c>
      <c r="BC14" s="1064">
        <v>11</v>
      </c>
      <c r="BD14" s="1064">
        <v>11</v>
      </c>
      <c r="BE14" s="1064">
        <v>11</v>
      </c>
      <c r="BF14" s="1065">
        <v>11</v>
      </c>
      <c r="BG14" s="1063">
        <v>10</v>
      </c>
      <c r="BH14" s="1345">
        <v>10.33</v>
      </c>
      <c r="BI14" s="2065">
        <v>1E-3</v>
      </c>
    </row>
    <row r="15" spans="1:61">
      <c r="A15" s="912" t="s">
        <v>178</v>
      </c>
      <c r="B15" s="1598" t="s">
        <v>252</v>
      </c>
      <c r="C15" s="1598" t="s">
        <v>252</v>
      </c>
      <c r="D15" s="518">
        <v>1</v>
      </c>
      <c r="E15" s="188">
        <v>1</v>
      </c>
      <c r="F15" s="188">
        <v>1</v>
      </c>
      <c r="G15" s="515">
        <v>1</v>
      </c>
      <c r="H15" s="515">
        <v>1</v>
      </c>
      <c r="I15" s="515">
        <v>1</v>
      </c>
      <c r="J15" s="515">
        <v>1</v>
      </c>
      <c r="K15" s="515">
        <v>1</v>
      </c>
      <c r="L15" s="515">
        <v>1</v>
      </c>
      <c r="M15" s="515">
        <v>1</v>
      </c>
      <c r="N15" s="188">
        <v>1</v>
      </c>
      <c r="O15" s="518">
        <v>1</v>
      </c>
      <c r="P15" s="1452">
        <f t="shared" si="1"/>
        <v>1</v>
      </c>
      <c r="Q15" s="1366">
        <f t="shared" si="2"/>
        <v>1.605372647125714E-4</v>
      </c>
      <c r="R15" s="1345">
        <v>2</v>
      </c>
      <c r="S15" s="1366">
        <f t="shared" si="3"/>
        <v>3.9658933174697601E-4</v>
      </c>
      <c r="T15" s="518">
        <v>1</v>
      </c>
      <c r="U15" s="188">
        <v>1</v>
      </c>
      <c r="V15" s="188">
        <v>1</v>
      </c>
      <c r="W15" s="515">
        <v>1</v>
      </c>
      <c r="X15" s="515">
        <v>1</v>
      </c>
      <c r="Y15" s="515">
        <v>1</v>
      </c>
      <c r="Z15" s="515">
        <v>1</v>
      </c>
      <c r="AA15" s="515">
        <v>1</v>
      </c>
      <c r="AB15" s="515">
        <v>1</v>
      </c>
      <c r="AC15" s="515">
        <v>1</v>
      </c>
      <c r="AD15" s="188">
        <v>1</v>
      </c>
      <c r="AE15" s="518">
        <v>1</v>
      </c>
      <c r="AF15" s="1452">
        <f t="shared" si="4"/>
        <v>1</v>
      </c>
      <c r="AG15" s="1366">
        <f t="shared" si="5"/>
        <v>1.6894270026749259E-4</v>
      </c>
      <c r="AH15" s="1415">
        <v>1</v>
      </c>
      <c r="AI15" s="1412">
        <v>1</v>
      </c>
      <c r="AJ15" s="1064">
        <v>1</v>
      </c>
      <c r="AK15" s="1064">
        <v>1</v>
      </c>
      <c r="AL15" s="1064">
        <v>1</v>
      </c>
      <c r="AM15" s="1064">
        <v>1</v>
      </c>
      <c r="AN15" s="1064">
        <v>1</v>
      </c>
      <c r="AO15" s="1064">
        <v>1</v>
      </c>
      <c r="AP15" s="1064">
        <v>1</v>
      </c>
      <c r="AQ15" s="1064">
        <v>1</v>
      </c>
      <c r="AR15" s="1065">
        <v>1</v>
      </c>
      <c r="AS15" s="1063">
        <v>1</v>
      </c>
      <c r="AT15" s="1345">
        <f t="shared" si="6"/>
        <v>1</v>
      </c>
      <c r="AU15" s="1514">
        <f t="shared" si="0"/>
        <v>1.4378145219266715E-4</v>
      </c>
      <c r="AV15" s="2957">
        <v>18</v>
      </c>
      <c r="AW15" s="1412">
        <v>17</v>
      </c>
      <c r="AX15" s="1064">
        <v>16</v>
      </c>
      <c r="AY15" s="1064">
        <v>16</v>
      </c>
      <c r="AZ15" s="1064">
        <v>16</v>
      </c>
      <c r="BA15" s="1064">
        <v>18</v>
      </c>
      <c r="BB15" s="1064">
        <v>17</v>
      </c>
      <c r="BC15" s="1064">
        <v>18</v>
      </c>
      <c r="BD15" s="1064">
        <v>18</v>
      </c>
      <c r="BE15" s="1064">
        <v>18</v>
      </c>
      <c r="BF15" s="1065">
        <v>19</v>
      </c>
      <c r="BG15" s="1063">
        <v>20</v>
      </c>
      <c r="BH15" s="1345">
        <v>17.579999999999998</v>
      </c>
      <c r="BI15" s="2065">
        <v>2E-3</v>
      </c>
    </row>
    <row r="16" spans="1:61">
      <c r="A16" s="1010" t="s">
        <v>608</v>
      </c>
      <c r="B16" s="1599" t="s">
        <v>24</v>
      </c>
      <c r="C16" s="1600" t="s">
        <v>24</v>
      </c>
      <c r="D16" s="518"/>
      <c r="E16" s="188"/>
      <c r="F16" s="192"/>
      <c r="G16" s="518"/>
      <c r="H16" s="192"/>
      <c r="I16" s="192"/>
      <c r="J16" s="192"/>
      <c r="K16" s="192"/>
      <c r="L16" s="192"/>
      <c r="M16" s="192"/>
      <c r="N16" s="518"/>
      <c r="O16" s="193"/>
      <c r="P16" s="1452">
        <v>0</v>
      </c>
      <c r="Q16" s="1366" t="s">
        <v>24</v>
      </c>
      <c r="R16" s="1345" t="s">
        <v>24</v>
      </c>
      <c r="S16" s="1366" t="s">
        <v>24</v>
      </c>
      <c r="T16" s="518" t="s">
        <v>24</v>
      </c>
      <c r="U16" s="188" t="s">
        <v>24</v>
      </c>
      <c r="V16" s="192" t="s">
        <v>24</v>
      </c>
      <c r="W16" s="518" t="s">
        <v>24</v>
      </c>
      <c r="X16" s="192" t="s">
        <v>24</v>
      </c>
      <c r="Y16" s="192" t="s">
        <v>24</v>
      </c>
      <c r="Z16" s="192" t="s">
        <v>24</v>
      </c>
      <c r="AA16" s="192" t="s">
        <v>24</v>
      </c>
      <c r="AB16" s="192" t="s">
        <v>24</v>
      </c>
      <c r="AC16" s="192" t="s">
        <v>24</v>
      </c>
      <c r="AD16" s="518" t="s">
        <v>24</v>
      </c>
      <c r="AE16" s="193" t="s">
        <v>24</v>
      </c>
      <c r="AF16" s="1452">
        <v>0</v>
      </c>
      <c r="AG16" s="1366">
        <f t="shared" si="5"/>
        <v>0</v>
      </c>
      <c r="AH16" s="1415" t="s">
        <v>24</v>
      </c>
      <c r="AI16" s="1412">
        <v>28</v>
      </c>
      <c r="AJ16" s="1064">
        <v>28</v>
      </c>
      <c r="AK16" s="1064">
        <v>44</v>
      </c>
      <c r="AL16" s="1064">
        <v>49</v>
      </c>
      <c r="AM16" s="1064">
        <v>47</v>
      </c>
      <c r="AN16" s="1064">
        <v>44</v>
      </c>
      <c r="AO16" s="1064">
        <v>43</v>
      </c>
      <c r="AP16" s="1064">
        <v>41</v>
      </c>
      <c r="AQ16" s="1064">
        <v>42</v>
      </c>
      <c r="AR16" s="1065">
        <v>43</v>
      </c>
      <c r="AS16" s="1063">
        <v>48</v>
      </c>
      <c r="AT16" s="1345">
        <v>0</v>
      </c>
      <c r="AU16" s="1514">
        <f t="shared" si="0"/>
        <v>0</v>
      </c>
      <c r="AV16" s="2957">
        <v>47</v>
      </c>
      <c r="AW16" s="1412">
        <v>49</v>
      </c>
      <c r="AX16" s="1064">
        <v>50</v>
      </c>
      <c r="AY16" s="1064">
        <v>50</v>
      </c>
      <c r="AZ16" s="1064">
        <v>44</v>
      </c>
      <c r="BA16" s="1064">
        <v>42</v>
      </c>
      <c r="BB16" s="1064">
        <v>40</v>
      </c>
      <c r="BC16" s="1064">
        <v>44</v>
      </c>
      <c r="BD16" s="1064">
        <v>46</v>
      </c>
      <c r="BE16" s="1064">
        <v>42</v>
      </c>
      <c r="BF16" s="1065">
        <v>44</v>
      </c>
      <c r="BG16" s="1063">
        <v>43</v>
      </c>
      <c r="BH16" s="1345">
        <v>45.08</v>
      </c>
      <c r="BI16" s="2065">
        <v>5.0000000000000001E-3</v>
      </c>
    </row>
    <row r="17" spans="1:79" ht="12.6" thickBot="1">
      <c r="A17" s="911" t="s">
        <v>182</v>
      </c>
      <c r="B17" s="1601" t="s">
        <v>252</v>
      </c>
      <c r="C17" s="1597" t="s">
        <v>252</v>
      </c>
      <c r="D17" s="1026">
        <v>2</v>
      </c>
      <c r="E17" s="1025">
        <v>2</v>
      </c>
      <c r="F17" s="1025">
        <v>2</v>
      </c>
      <c r="G17" s="1024">
        <v>1</v>
      </c>
      <c r="H17" s="1024">
        <v>1</v>
      </c>
      <c r="I17" s="1024">
        <v>1</v>
      </c>
      <c r="J17" s="1024">
        <v>0</v>
      </c>
      <c r="K17" s="1024">
        <v>1</v>
      </c>
      <c r="L17" s="1024">
        <v>1</v>
      </c>
      <c r="M17" s="1024">
        <v>1</v>
      </c>
      <c r="N17" s="1025">
        <v>0</v>
      </c>
      <c r="O17" s="1026">
        <v>0</v>
      </c>
      <c r="P17" s="1502">
        <f t="shared" si="1"/>
        <v>1</v>
      </c>
      <c r="Q17" s="1368">
        <f t="shared" si="2"/>
        <v>1.605372647125714E-4</v>
      </c>
      <c r="R17" s="1344">
        <v>197</v>
      </c>
      <c r="S17" s="1367">
        <f t="shared" si="3"/>
        <v>3.9064049177077134E-2</v>
      </c>
      <c r="T17" s="1026">
        <v>4</v>
      </c>
      <c r="U17" s="1025">
        <v>2</v>
      </c>
      <c r="V17" s="1025">
        <v>1</v>
      </c>
      <c r="W17" s="1024">
        <v>3</v>
      </c>
      <c r="X17" s="1024">
        <v>0</v>
      </c>
      <c r="Y17" s="1024">
        <v>1</v>
      </c>
      <c r="Z17" s="1024">
        <v>0</v>
      </c>
      <c r="AA17" s="1024">
        <v>3</v>
      </c>
      <c r="AB17" s="1024">
        <v>3</v>
      </c>
      <c r="AC17" s="1024">
        <v>8</v>
      </c>
      <c r="AD17" s="1025">
        <v>8</v>
      </c>
      <c r="AE17" s="1026">
        <v>8</v>
      </c>
      <c r="AF17" s="1502">
        <f t="shared" si="4"/>
        <v>3.4166666666666665</v>
      </c>
      <c r="AG17" s="1368">
        <f t="shared" si="5"/>
        <v>5.7722089258059974E-4</v>
      </c>
      <c r="AH17" s="1416">
        <v>9</v>
      </c>
      <c r="AI17" s="1413">
        <v>9</v>
      </c>
      <c r="AJ17" s="1061">
        <v>9</v>
      </c>
      <c r="AK17" s="1061">
        <v>9</v>
      </c>
      <c r="AL17" s="1061">
        <v>9</v>
      </c>
      <c r="AM17" s="1061">
        <v>9</v>
      </c>
      <c r="AN17" s="1061">
        <v>9</v>
      </c>
      <c r="AO17" s="1061">
        <v>9</v>
      </c>
      <c r="AP17" s="1061">
        <v>7</v>
      </c>
      <c r="AQ17" s="1061">
        <v>6</v>
      </c>
      <c r="AR17" s="1066">
        <v>6</v>
      </c>
      <c r="AS17" s="1060">
        <v>6</v>
      </c>
      <c r="AT17" s="1344">
        <f t="shared" si="6"/>
        <v>8.0833333333333339</v>
      </c>
      <c r="AU17" s="2063">
        <f t="shared" si="0"/>
        <v>1.1622334052240597E-3</v>
      </c>
      <c r="AV17" s="2958">
        <v>284</v>
      </c>
      <c r="AW17" s="2959">
        <v>291</v>
      </c>
      <c r="AX17" s="1353">
        <v>288</v>
      </c>
      <c r="AY17" s="1353">
        <v>295</v>
      </c>
      <c r="AZ17" s="1353">
        <v>304</v>
      </c>
      <c r="BA17" s="1353">
        <v>291</v>
      </c>
      <c r="BB17" s="1353">
        <v>306</v>
      </c>
      <c r="BC17" s="1353">
        <v>321</v>
      </c>
      <c r="BD17" s="1353">
        <v>326</v>
      </c>
      <c r="BE17" s="1353">
        <v>324</v>
      </c>
      <c r="BF17" s="1406">
        <v>341</v>
      </c>
      <c r="BG17" s="1355">
        <v>362</v>
      </c>
      <c r="BH17" s="1358">
        <v>311.08</v>
      </c>
      <c r="BI17" s="1372">
        <v>3.6999999999999998E-2</v>
      </c>
    </row>
    <row r="18" spans="1:79">
      <c r="A18" s="194"/>
      <c r="B18" s="1442"/>
      <c r="C18" s="1442"/>
      <c r="D18" s="195"/>
      <c r="E18" s="195"/>
      <c r="F18" s="1485"/>
      <c r="G18" s="195"/>
      <c r="H18" s="195"/>
      <c r="I18" s="195"/>
      <c r="J18" s="195"/>
      <c r="K18" s="195"/>
      <c r="L18" s="195"/>
      <c r="M18" s="195"/>
      <c r="N18" s="195"/>
      <c r="O18" s="195"/>
      <c r="P18" s="1363"/>
      <c r="Q18" s="1440"/>
      <c r="R18" s="195"/>
      <c r="S18" s="1284"/>
      <c r="T18" s="195"/>
      <c r="U18" s="195"/>
      <c r="V18" s="1485"/>
      <c r="W18" s="195"/>
      <c r="X18" s="195"/>
      <c r="Y18" s="195"/>
      <c r="Z18" s="195"/>
      <c r="AA18" s="195"/>
      <c r="AB18" s="195"/>
      <c r="AC18" s="195"/>
      <c r="AD18" s="195"/>
      <c r="AE18" s="195"/>
      <c r="AF18" s="1363"/>
      <c r="AG18" s="1440"/>
      <c r="AH18" s="195"/>
      <c r="AI18" s="195"/>
      <c r="AJ18" s="195"/>
      <c r="AK18" s="195"/>
      <c r="AL18" s="195"/>
      <c r="AM18" s="195"/>
      <c r="AN18" s="195"/>
      <c r="AO18" s="195"/>
      <c r="AP18" s="195"/>
      <c r="AQ18" s="195"/>
      <c r="AR18" s="195"/>
      <c r="AS18" s="195"/>
      <c r="AT18" s="195"/>
      <c r="AU18" s="1284"/>
      <c r="AV18" s="195"/>
      <c r="AW18" s="195"/>
      <c r="AX18" s="195"/>
      <c r="AY18" s="195"/>
      <c r="AZ18" s="195"/>
      <c r="BA18" s="195"/>
      <c r="BB18" s="195"/>
      <c r="BC18" s="195"/>
      <c r="BD18" s="195"/>
      <c r="BE18" s="195"/>
      <c r="BF18" s="195"/>
      <c r="BG18" s="195"/>
      <c r="BH18" s="195"/>
      <c r="BI18" s="1284"/>
    </row>
    <row r="19" spans="1:79" ht="13.15">
      <c r="A19" s="909" t="s">
        <v>606</v>
      </c>
      <c r="B19" s="1443" t="s">
        <v>607</v>
      </c>
      <c r="C19" s="1443" t="s">
        <v>607</v>
      </c>
      <c r="D19" s="1487">
        <v>43951</v>
      </c>
      <c r="E19" s="1021">
        <v>43982</v>
      </c>
      <c r="F19" s="1021">
        <v>44012</v>
      </c>
      <c r="G19" s="1020">
        <v>44043</v>
      </c>
      <c r="H19" s="1022">
        <v>44074</v>
      </c>
      <c r="I19" s="1020">
        <v>44104</v>
      </c>
      <c r="J19" s="1021">
        <v>44135</v>
      </c>
      <c r="K19" s="1020">
        <v>44165</v>
      </c>
      <c r="L19" s="1021">
        <v>44196</v>
      </c>
      <c r="M19" s="1020">
        <v>44227</v>
      </c>
      <c r="N19" s="1021">
        <v>44255</v>
      </c>
      <c r="O19" s="1023">
        <v>44286</v>
      </c>
      <c r="P19" s="1382" t="s">
        <v>607</v>
      </c>
      <c r="Q19" s="1390" t="s">
        <v>296</v>
      </c>
      <c r="R19" s="1342" t="s">
        <v>607</v>
      </c>
      <c r="S19" s="1341" t="s">
        <v>296</v>
      </c>
      <c r="T19" s="1513">
        <v>44681</v>
      </c>
      <c r="U19" s="1021">
        <v>44712</v>
      </c>
      <c r="V19" s="1021">
        <v>44742</v>
      </c>
      <c r="W19" s="1020">
        <v>44773</v>
      </c>
      <c r="X19" s="1022">
        <v>44804</v>
      </c>
      <c r="Y19" s="1020">
        <v>44834</v>
      </c>
      <c r="Z19" s="1021">
        <v>44865</v>
      </c>
      <c r="AA19" s="1020">
        <v>44895</v>
      </c>
      <c r="AB19" s="1021">
        <v>44926</v>
      </c>
      <c r="AC19" s="1020">
        <v>44957</v>
      </c>
      <c r="AD19" s="1021">
        <v>44985</v>
      </c>
      <c r="AE19" s="1023">
        <v>45016</v>
      </c>
      <c r="AF19" s="1382" t="s">
        <v>607</v>
      </c>
      <c r="AG19" s="1390" t="s">
        <v>296</v>
      </c>
      <c r="AH19" s="1029">
        <v>45030</v>
      </c>
      <c r="AI19" s="1030">
        <v>45062</v>
      </c>
      <c r="AJ19" s="1029">
        <v>45094</v>
      </c>
      <c r="AK19" s="1030">
        <v>45126</v>
      </c>
      <c r="AL19" s="1029">
        <v>45158</v>
      </c>
      <c r="AM19" s="1030">
        <v>45190</v>
      </c>
      <c r="AN19" s="1029">
        <v>45222</v>
      </c>
      <c r="AO19" s="1030">
        <v>45254</v>
      </c>
      <c r="AP19" s="1029">
        <v>45286</v>
      </c>
      <c r="AQ19" s="1030">
        <v>45318</v>
      </c>
      <c r="AR19" s="1029">
        <v>45350</v>
      </c>
      <c r="AS19" s="1030">
        <v>45382</v>
      </c>
      <c r="AT19" s="1342" t="s">
        <v>607</v>
      </c>
      <c r="AU19" s="2062" t="s">
        <v>296</v>
      </c>
      <c r="AV19" s="2061">
        <v>45396</v>
      </c>
      <c r="AW19" s="908">
        <v>45428</v>
      </c>
      <c r="AX19" s="907">
        <v>45460</v>
      </c>
      <c r="AY19" s="907">
        <v>45492</v>
      </c>
      <c r="AZ19" s="908">
        <v>45524</v>
      </c>
      <c r="BA19" s="907">
        <v>45556</v>
      </c>
      <c r="BB19" s="907">
        <v>45588</v>
      </c>
      <c r="BC19" s="908">
        <v>45620</v>
      </c>
      <c r="BD19" s="907">
        <v>45652</v>
      </c>
      <c r="BE19" s="907">
        <v>45684</v>
      </c>
      <c r="BF19" s="908">
        <v>45716</v>
      </c>
      <c r="BG19" s="1434">
        <v>45717</v>
      </c>
      <c r="BH19" s="2064" t="s">
        <v>607</v>
      </c>
      <c r="BI19" s="2040" t="s">
        <v>296</v>
      </c>
    </row>
    <row r="20" spans="1:79">
      <c r="A20" s="910" t="s">
        <v>609</v>
      </c>
      <c r="B20" s="1602" t="s">
        <v>252</v>
      </c>
      <c r="C20" s="1595" t="s">
        <v>252</v>
      </c>
      <c r="D20" s="519">
        <v>738</v>
      </c>
      <c r="E20" s="521">
        <v>701</v>
      </c>
      <c r="F20" s="513">
        <v>682</v>
      </c>
      <c r="G20" s="514">
        <v>660</v>
      </c>
      <c r="H20" s="514">
        <v>630</v>
      </c>
      <c r="I20" s="514">
        <v>597</v>
      </c>
      <c r="J20" s="514">
        <v>578</v>
      </c>
      <c r="K20" s="514">
        <v>554</v>
      </c>
      <c r="L20" s="514">
        <v>476</v>
      </c>
      <c r="M20" s="514">
        <v>461</v>
      </c>
      <c r="N20" s="513">
        <v>442</v>
      </c>
      <c r="O20" s="518">
        <v>434</v>
      </c>
      <c r="P20" s="1343">
        <f>AVERAGE(D20:O20)</f>
        <v>579.41666666666663</v>
      </c>
      <c r="Q20" s="1366">
        <f>P20/SUM($P$20:$P$25)</f>
        <v>9.3017966795542417E-2</v>
      </c>
      <c r="R20" s="1345">
        <v>393</v>
      </c>
      <c r="S20" s="1366">
        <f>R20/SUM($R$20:$R$25)</f>
        <v>8.1114551083591335E-2</v>
      </c>
      <c r="T20" s="1031">
        <v>330</v>
      </c>
      <c r="U20" s="521">
        <v>427</v>
      </c>
      <c r="V20" s="513">
        <v>512</v>
      </c>
      <c r="W20" s="514">
        <v>602</v>
      </c>
      <c r="X20" s="514">
        <v>632</v>
      </c>
      <c r="Y20" s="514">
        <v>578</v>
      </c>
      <c r="Z20" s="514">
        <v>584</v>
      </c>
      <c r="AA20" s="514">
        <v>600</v>
      </c>
      <c r="AB20" s="514">
        <v>612</v>
      </c>
      <c r="AC20" s="514">
        <v>630</v>
      </c>
      <c r="AD20" s="513">
        <v>646</v>
      </c>
      <c r="AE20" s="518">
        <v>670</v>
      </c>
      <c r="AF20" s="1343">
        <f>AVERAGE(T20:AE20)</f>
        <v>568.58333333333337</v>
      </c>
      <c r="AG20" s="1366">
        <f>AF20/SUM($AF$20:$AF$25)</f>
        <v>9.612431495752384E-2</v>
      </c>
      <c r="AH20" s="1414">
        <v>720</v>
      </c>
      <c r="AI20" s="1409">
        <v>779</v>
      </c>
      <c r="AJ20" s="1056">
        <v>791</v>
      </c>
      <c r="AK20" s="1056">
        <v>849</v>
      </c>
      <c r="AL20" s="1056">
        <v>866</v>
      </c>
      <c r="AM20" s="1056">
        <v>844</v>
      </c>
      <c r="AN20" s="1056">
        <v>876</v>
      </c>
      <c r="AO20" s="1056">
        <v>911</v>
      </c>
      <c r="AP20" s="1056">
        <v>881</v>
      </c>
      <c r="AQ20" s="1056">
        <v>920</v>
      </c>
      <c r="AR20" s="1057">
        <v>938</v>
      </c>
      <c r="AS20" s="1055">
        <v>991</v>
      </c>
      <c r="AT20" s="1345">
        <f>AVERAGE(AH20:AS20)</f>
        <v>863.83333333333337</v>
      </c>
      <c r="AU20" s="1514">
        <f>AT20/SUM($AT$20:$AT$25)</f>
        <v>0.12352681816556838</v>
      </c>
      <c r="AV20" s="2956">
        <v>954</v>
      </c>
      <c r="AW20" s="1409">
        <v>987</v>
      </c>
      <c r="AX20" s="1056">
        <v>1011</v>
      </c>
      <c r="AY20" s="1056">
        <v>1070</v>
      </c>
      <c r="AZ20" s="1056">
        <v>1080</v>
      </c>
      <c r="BA20" s="1056">
        <v>1105</v>
      </c>
      <c r="BB20" s="1056">
        <v>1100</v>
      </c>
      <c r="BC20" s="1056">
        <v>1145</v>
      </c>
      <c r="BD20" s="1056">
        <v>1142</v>
      </c>
      <c r="BE20" s="1056">
        <v>1143</v>
      </c>
      <c r="BF20" s="1057">
        <v>1149</v>
      </c>
      <c r="BG20" s="1055">
        <v>1198</v>
      </c>
      <c r="BH20" s="1345">
        <v>1090.33</v>
      </c>
      <c r="BI20" s="2065">
        <v>0.13</v>
      </c>
    </row>
    <row r="21" spans="1:79">
      <c r="A21" s="912" t="s">
        <v>610</v>
      </c>
      <c r="B21" s="1602" t="s">
        <v>252</v>
      </c>
      <c r="C21" s="1599" t="s">
        <v>252</v>
      </c>
      <c r="D21" s="518">
        <v>1535</v>
      </c>
      <c r="E21" s="187">
        <v>1517</v>
      </c>
      <c r="F21" s="188">
        <v>1504</v>
      </c>
      <c r="G21" s="515">
        <v>1477</v>
      </c>
      <c r="H21" s="515">
        <v>1451</v>
      </c>
      <c r="I21" s="515">
        <v>1425</v>
      </c>
      <c r="J21" s="515">
        <v>1386</v>
      </c>
      <c r="K21" s="515">
        <v>1340</v>
      </c>
      <c r="L21" s="515">
        <v>1199</v>
      </c>
      <c r="M21" s="515">
        <v>1182</v>
      </c>
      <c r="N21" s="188">
        <v>1144</v>
      </c>
      <c r="O21" s="518">
        <v>1125</v>
      </c>
      <c r="P21" s="1346">
        <f t="shared" ref="P21:P25" si="7">AVERAGE(D21:O21)</f>
        <v>1357.0833333333333</v>
      </c>
      <c r="Q21" s="1366">
        <f t="shared" ref="Q21:Q25" si="8">P21/SUM($P$20:$P$25)</f>
        <v>0.21786244632035212</v>
      </c>
      <c r="R21" s="1345">
        <v>1053</v>
      </c>
      <c r="S21" s="1366">
        <f t="shared" ref="S21:S25" si="9">R21/SUM($R$20:$R$25)</f>
        <v>0.21733746130030959</v>
      </c>
      <c r="T21" s="1032">
        <v>1081</v>
      </c>
      <c r="U21" s="187">
        <v>1172</v>
      </c>
      <c r="V21" s="188">
        <v>1234</v>
      </c>
      <c r="W21" s="515">
        <v>1272</v>
      </c>
      <c r="X21" s="515">
        <v>1290</v>
      </c>
      <c r="Y21" s="515">
        <v>1297</v>
      </c>
      <c r="Z21" s="515">
        <v>1340</v>
      </c>
      <c r="AA21" s="515">
        <v>1373</v>
      </c>
      <c r="AB21" s="515">
        <v>1367</v>
      </c>
      <c r="AC21" s="515">
        <v>1403</v>
      </c>
      <c r="AD21" s="188">
        <v>1436</v>
      </c>
      <c r="AE21" s="518">
        <v>1458</v>
      </c>
      <c r="AF21" s="1346">
        <f t="shared" ref="AF21:AF25" si="10">AVERAGE(T21:AE21)</f>
        <v>1310.25</v>
      </c>
      <c r="AG21" s="1366">
        <f t="shared" ref="AG21:AG25" si="11">AF21/SUM($AF$20:$AF$25)</f>
        <v>0.22150998154435692</v>
      </c>
      <c r="AH21" s="1417">
        <v>1483</v>
      </c>
      <c r="AI21" s="1412">
        <v>1526</v>
      </c>
      <c r="AJ21" s="1064">
        <v>1539</v>
      </c>
      <c r="AK21" s="1064">
        <v>1577</v>
      </c>
      <c r="AL21" s="1064">
        <v>1582</v>
      </c>
      <c r="AM21" s="1064">
        <v>1583</v>
      </c>
      <c r="AN21" s="1064">
        <v>1602</v>
      </c>
      <c r="AO21" s="1064">
        <v>1625</v>
      </c>
      <c r="AP21" s="1064">
        <v>1619</v>
      </c>
      <c r="AQ21" s="1064">
        <v>1639</v>
      </c>
      <c r="AR21" s="1065">
        <v>1653</v>
      </c>
      <c r="AS21" s="1063">
        <v>1660</v>
      </c>
      <c r="AT21" s="1345">
        <f t="shared" ref="AT21:AT25" si="12">AVERAGE(AH21:AS21)</f>
        <v>1590.6666666666667</v>
      </c>
      <c r="AU21" s="1514">
        <f t="shared" ref="AU21:AU25" si="13">AT21/SUM($AT$20:$AT$25)</f>
        <v>0.22746285019721871</v>
      </c>
      <c r="AV21" s="2960">
        <v>1814</v>
      </c>
      <c r="AW21" s="1412">
        <v>1837</v>
      </c>
      <c r="AX21" s="1064">
        <v>1862</v>
      </c>
      <c r="AY21" s="1064">
        <v>1885</v>
      </c>
      <c r="AZ21" s="1064">
        <v>1884</v>
      </c>
      <c r="BA21" s="1064">
        <v>1914</v>
      </c>
      <c r="BB21" s="1064">
        <v>1928</v>
      </c>
      <c r="BC21" s="1064">
        <v>1956</v>
      </c>
      <c r="BD21" s="1064">
        <v>1948</v>
      </c>
      <c r="BE21" s="1064">
        <v>1968</v>
      </c>
      <c r="BF21" s="1065">
        <v>1972</v>
      </c>
      <c r="BG21" s="1063">
        <v>2016</v>
      </c>
      <c r="BH21" s="1345">
        <v>1915.33</v>
      </c>
      <c r="BI21" s="2065">
        <v>0.22900000000000001</v>
      </c>
    </row>
    <row r="22" spans="1:79">
      <c r="A22" s="912" t="s">
        <v>611</v>
      </c>
      <c r="B22" s="1599" t="s">
        <v>252</v>
      </c>
      <c r="C22" s="1599" t="s">
        <v>252</v>
      </c>
      <c r="D22" s="518">
        <v>1463</v>
      </c>
      <c r="E22" s="187">
        <v>1458</v>
      </c>
      <c r="F22" s="188">
        <v>1460</v>
      </c>
      <c r="G22" s="515">
        <v>1452</v>
      </c>
      <c r="H22" s="515">
        <v>1425</v>
      </c>
      <c r="I22" s="515">
        <v>1399</v>
      </c>
      <c r="J22" s="515">
        <v>1389</v>
      </c>
      <c r="K22" s="515">
        <v>1363</v>
      </c>
      <c r="L22" s="515">
        <v>1245</v>
      </c>
      <c r="M22" s="515">
        <v>1223</v>
      </c>
      <c r="N22" s="188">
        <v>1214</v>
      </c>
      <c r="O22" s="518">
        <v>1204</v>
      </c>
      <c r="P22" s="1346">
        <f t="shared" si="7"/>
        <v>1357.9166666666667</v>
      </c>
      <c r="Q22" s="1366">
        <f t="shared" si="8"/>
        <v>0.21799622737427929</v>
      </c>
      <c r="R22" s="1345">
        <v>1124</v>
      </c>
      <c r="S22" s="1366">
        <f t="shared" si="9"/>
        <v>0.23199174406604747</v>
      </c>
      <c r="T22" s="1032">
        <v>1189</v>
      </c>
      <c r="U22" s="187">
        <v>1244</v>
      </c>
      <c r="V22" s="188">
        <v>1282</v>
      </c>
      <c r="W22" s="515">
        <v>1310</v>
      </c>
      <c r="X22" s="515">
        <v>1331</v>
      </c>
      <c r="Y22" s="515">
        <v>1348</v>
      </c>
      <c r="Z22" s="515">
        <v>1384</v>
      </c>
      <c r="AA22" s="515">
        <v>1409</v>
      </c>
      <c r="AB22" s="515">
        <v>1401</v>
      </c>
      <c r="AC22" s="515">
        <v>1428</v>
      </c>
      <c r="AD22" s="188">
        <v>1447</v>
      </c>
      <c r="AE22" s="518">
        <v>1464</v>
      </c>
      <c r="AF22" s="1346">
        <f t="shared" si="10"/>
        <v>1353.0833333333333</v>
      </c>
      <c r="AG22" s="1366">
        <f t="shared" si="11"/>
        <v>0.22875135599667512</v>
      </c>
      <c r="AH22" s="1415">
        <v>1507</v>
      </c>
      <c r="AI22" s="1412">
        <v>1528</v>
      </c>
      <c r="AJ22" s="1064">
        <v>1542</v>
      </c>
      <c r="AK22" s="1064">
        <v>1559</v>
      </c>
      <c r="AL22" s="1064">
        <v>1565</v>
      </c>
      <c r="AM22" s="1064">
        <v>1576</v>
      </c>
      <c r="AN22" s="1064">
        <v>1588</v>
      </c>
      <c r="AO22" s="1064">
        <v>1603</v>
      </c>
      <c r="AP22" s="1064">
        <v>1601</v>
      </c>
      <c r="AQ22" s="1064">
        <v>1611</v>
      </c>
      <c r="AR22" s="1065">
        <v>1629</v>
      </c>
      <c r="AS22" s="1063">
        <v>1655</v>
      </c>
      <c r="AT22" s="1345">
        <f t="shared" si="12"/>
        <v>1580.3333333333333</v>
      </c>
      <c r="AU22" s="1514">
        <f t="shared" si="13"/>
        <v>0.22598519966157035</v>
      </c>
      <c r="AV22" s="2957">
        <v>1798</v>
      </c>
      <c r="AW22" s="1412">
        <v>1822</v>
      </c>
      <c r="AX22" s="1064">
        <v>1852</v>
      </c>
      <c r="AY22" s="1064">
        <v>1876</v>
      </c>
      <c r="AZ22" s="1064">
        <v>1890</v>
      </c>
      <c r="BA22" s="1064">
        <v>1911</v>
      </c>
      <c r="BB22" s="1064">
        <v>1925</v>
      </c>
      <c r="BC22" s="1064">
        <v>1963</v>
      </c>
      <c r="BD22" s="1064">
        <v>1962</v>
      </c>
      <c r="BE22" s="1064">
        <v>1968</v>
      </c>
      <c r="BF22" s="1065">
        <v>1974</v>
      </c>
      <c r="BG22" s="1063">
        <v>1997</v>
      </c>
      <c r="BH22" s="1345">
        <v>1911.5</v>
      </c>
      <c r="BI22" s="2065">
        <v>0.22900000000000001</v>
      </c>
    </row>
    <row r="23" spans="1:79">
      <c r="A23" s="912" t="s">
        <v>612</v>
      </c>
      <c r="B23" s="1602" t="s">
        <v>252</v>
      </c>
      <c r="C23" s="1603" t="s">
        <v>252</v>
      </c>
      <c r="D23" s="518">
        <v>1764</v>
      </c>
      <c r="E23" s="187">
        <v>1735</v>
      </c>
      <c r="F23" s="188">
        <v>1729</v>
      </c>
      <c r="G23" s="515">
        <v>1723</v>
      </c>
      <c r="H23" s="515">
        <v>1695</v>
      </c>
      <c r="I23" s="515">
        <v>1675</v>
      </c>
      <c r="J23" s="515">
        <v>1652</v>
      </c>
      <c r="K23" s="515">
        <v>1610</v>
      </c>
      <c r="L23" s="515">
        <v>1432</v>
      </c>
      <c r="M23" s="515">
        <v>1409</v>
      </c>
      <c r="N23" s="515">
        <v>1389</v>
      </c>
      <c r="O23" s="193">
        <v>1372</v>
      </c>
      <c r="P23" s="1345">
        <f t="shared" si="7"/>
        <v>1598.75</v>
      </c>
      <c r="Q23" s="1366">
        <f t="shared" si="8"/>
        <v>0.25665895195922356</v>
      </c>
      <c r="R23" s="1346">
        <v>1224</v>
      </c>
      <c r="S23" s="1368">
        <f t="shared" si="9"/>
        <v>0.25263157894736843</v>
      </c>
      <c r="T23" s="1032">
        <v>1225</v>
      </c>
      <c r="U23" s="187">
        <v>1271</v>
      </c>
      <c r="V23" s="188">
        <v>1301</v>
      </c>
      <c r="W23" s="515">
        <v>1325</v>
      </c>
      <c r="X23" s="515">
        <v>1350</v>
      </c>
      <c r="Y23" s="515">
        <v>1349</v>
      </c>
      <c r="Z23" s="515">
        <v>1367</v>
      </c>
      <c r="AA23" s="515">
        <v>1386</v>
      </c>
      <c r="AB23" s="515">
        <v>1383</v>
      </c>
      <c r="AC23" s="515">
        <v>1408</v>
      </c>
      <c r="AD23" s="515">
        <v>1411</v>
      </c>
      <c r="AE23" s="193">
        <v>1447</v>
      </c>
      <c r="AF23" s="1345">
        <f t="shared" si="10"/>
        <v>1351.9166666666667</v>
      </c>
      <c r="AG23" s="1366">
        <f t="shared" si="11"/>
        <v>0.22855412011665091</v>
      </c>
      <c r="AH23" s="1415">
        <v>1480</v>
      </c>
      <c r="AI23" s="1412">
        <v>1505</v>
      </c>
      <c r="AJ23" s="1064">
        <v>1508</v>
      </c>
      <c r="AK23" s="1064">
        <v>1515</v>
      </c>
      <c r="AL23" s="1064">
        <v>1505</v>
      </c>
      <c r="AM23" s="1064">
        <v>1515</v>
      </c>
      <c r="AN23" s="1064">
        <v>1536</v>
      </c>
      <c r="AO23" s="1064">
        <v>1532</v>
      </c>
      <c r="AP23" s="1064">
        <v>1518</v>
      </c>
      <c r="AQ23" s="1064">
        <v>1539</v>
      </c>
      <c r="AR23" s="1065">
        <v>1560</v>
      </c>
      <c r="AS23" s="1063">
        <v>1553</v>
      </c>
      <c r="AT23" s="1346">
        <f t="shared" si="12"/>
        <v>1522.1666666666667</v>
      </c>
      <c r="AU23" s="2066">
        <f t="shared" si="13"/>
        <v>0.21766745713025967</v>
      </c>
      <c r="AV23" s="2957">
        <v>1595</v>
      </c>
      <c r="AW23" s="1412">
        <v>1604</v>
      </c>
      <c r="AX23" s="1064">
        <v>1610</v>
      </c>
      <c r="AY23" s="1064">
        <v>1645</v>
      </c>
      <c r="AZ23" s="1064">
        <v>1663</v>
      </c>
      <c r="BA23" s="1064">
        <v>1669</v>
      </c>
      <c r="BB23" s="1064">
        <v>1683</v>
      </c>
      <c r="BC23" s="1064">
        <v>1706</v>
      </c>
      <c r="BD23" s="1064">
        <v>1698</v>
      </c>
      <c r="BE23" s="1064">
        <v>1714</v>
      </c>
      <c r="BF23" s="1065">
        <v>1718</v>
      </c>
      <c r="BG23" s="1063">
        <v>1738</v>
      </c>
      <c r="BH23" s="1346">
        <v>1670.25</v>
      </c>
      <c r="BI23" s="2068">
        <v>0.2</v>
      </c>
    </row>
    <row r="24" spans="1:79">
      <c r="A24" s="912" t="s">
        <v>613</v>
      </c>
      <c r="B24" s="1602" t="s">
        <v>252</v>
      </c>
      <c r="C24" s="1599" t="s">
        <v>252</v>
      </c>
      <c r="D24" s="518">
        <v>1288</v>
      </c>
      <c r="E24" s="187">
        <v>1279</v>
      </c>
      <c r="F24" s="188">
        <v>1282</v>
      </c>
      <c r="G24" s="515">
        <v>1270</v>
      </c>
      <c r="H24" s="515">
        <v>1260</v>
      </c>
      <c r="I24" s="515">
        <v>1252</v>
      </c>
      <c r="J24" s="515">
        <v>1237</v>
      </c>
      <c r="K24" s="515">
        <v>1213</v>
      </c>
      <c r="L24" s="515">
        <v>1025</v>
      </c>
      <c r="M24" s="515">
        <v>996</v>
      </c>
      <c r="N24" s="188">
        <v>987</v>
      </c>
      <c r="O24" s="518">
        <v>991</v>
      </c>
      <c r="P24" s="1499">
        <f t="shared" si="7"/>
        <v>1173.3333333333333</v>
      </c>
      <c r="Q24" s="1366">
        <f t="shared" si="8"/>
        <v>0.18836372392941711</v>
      </c>
      <c r="R24" s="1345">
        <v>935</v>
      </c>
      <c r="S24" s="1366">
        <f t="shared" si="9"/>
        <v>0.19298245614035087</v>
      </c>
      <c r="T24" s="1032">
        <v>1061</v>
      </c>
      <c r="U24" s="187">
        <v>1106</v>
      </c>
      <c r="V24" s="188">
        <v>1140</v>
      </c>
      <c r="W24" s="515">
        <v>1151</v>
      </c>
      <c r="X24" s="515">
        <v>1168</v>
      </c>
      <c r="Y24" s="515">
        <v>1151</v>
      </c>
      <c r="Z24" s="515">
        <v>1161</v>
      </c>
      <c r="AA24" s="515">
        <v>1160</v>
      </c>
      <c r="AB24" s="515">
        <v>1153</v>
      </c>
      <c r="AC24" s="515">
        <v>1176</v>
      </c>
      <c r="AD24" s="188">
        <v>1189</v>
      </c>
      <c r="AE24" s="518">
        <v>1199</v>
      </c>
      <c r="AF24" s="1499">
        <f t="shared" si="10"/>
        <v>1151.25</v>
      </c>
      <c r="AG24" s="1366">
        <f t="shared" si="11"/>
        <v>0.19462954875248303</v>
      </c>
      <c r="AH24" s="1415">
        <v>1210</v>
      </c>
      <c r="AI24" s="1412">
        <v>1233</v>
      </c>
      <c r="AJ24" s="1064">
        <v>1233</v>
      </c>
      <c r="AK24" s="1064">
        <v>1254</v>
      </c>
      <c r="AL24" s="1064">
        <v>1255</v>
      </c>
      <c r="AM24" s="1064">
        <v>1249</v>
      </c>
      <c r="AN24" s="1064">
        <v>1252</v>
      </c>
      <c r="AO24" s="1064">
        <v>1266</v>
      </c>
      <c r="AP24" s="1064">
        <v>1264</v>
      </c>
      <c r="AQ24" s="1064">
        <v>1273</v>
      </c>
      <c r="AR24" s="1065">
        <v>1281</v>
      </c>
      <c r="AS24" s="1063">
        <v>1299</v>
      </c>
      <c r="AT24" s="1345">
        <f t="shared" si="12"/>
        <v>1255.75</v>
      </c>
      <c r="AU24" s="1514">
        <f t="shared" si="13"/>
        <v>0.17957028969100422</v>
      </c>
      <c r="AV24" s="2957">
        <v>1502</v>
      </c>
      <c r="AW24" s="1412">
        <v>1515</v>
      </c>
      <c r="AX24" s="1064">
        <v>1503</v>
      </c>
      <c r="AY24" s="1064">
        <v>1512</v>
      </c>
      <c r="AZ24" s="1064">
        <v>1518</v>
      </c>
      <c r="BA24" s="1064">
        <v>1526</v>
      </c>
      <c r="BB24" s="1064">
        <v>1522</v>
      </c>
      <c r="BC24" s="1064">
        <v>1509</v>
      </c>
      <c r="BD24" s="1064">
        <v>1503</v>
      </c>
      <c r="BE24" s="1064">
        <v>1508</v>
      </c>
      <c r="BF24" s="1065">
        <v>1514</v>
      </c>
      <c r="BG24" s="1063">
        <v>1525</v>
      </c>
      <c r="BH24" s="1345">
        <v>1513.08</v>
      </c>
      <c r="BI24" s="2065">
        <v>0.18099999999999999</v>
      </c>
    </row>
    <row r="25" spans="1:79">
      <c r="A25" s="911" t="s">
        <v>614</v>
      </c>
      <c r="B25" s="1596" t="s">
        <v>252</v>
      </c>
      <c r="C25" s="1597" t="s">
        <v>252</v>
      </c>
      <c r="D25" s="1017">
        <v>174</v>
      </c>
      <c r="E25" s="1033">
        <v>175</v>
      </c>
      <c r="F25" s="1025">
        <v>183</v>
      </c>
      <c r="G25" s="1024">
        <v>186</v>
      </c>
      <c r="H25" s="1024">
        <v>187</v>
      </c>
      <c r="I25" s="1024">
        <v>180</v>
      </c>
      <c r="J25" s="1024">
        <v>185</v>
      </c>
      <c r="K25" s="1024">
        <v>186</v>
      </c>
      <c r="L25" s="1024">
        <v>123</v>
      </c>
      <c r="M25" s="1024">
        <v>122</v>
      </c>
      <c r="N25" s="1025">
        <v>125</v>
      </c>
      <c r="O25" s="1026">
        <v>125</v>
      </c>
      <c r="P25" s="1346">
        <f t="shared" si="7"/>
        <v>162.58333333333334</v>
      </c>
      <c r="Q25" s="1371">
        <f t="shared" si="8"/>
        <v>2.6100683621185571E-2</v>
      </c>
      <c r="R25" s="1347">
        <v>116</v>
      </c>
      <c r="S25" s="1369">
        <f t="shared" si="9"/>
        <v>2.39422084623323E-2</v>
      </c>
      <c r="T25" s="1425">
        <v>173</v>
      </c>
      <c r="U25" s="1033">
        <v>181</v>
      </c>
      <c r="V25" s="1025">
        <v>180</v>
      </c>
      <c r="W25" s="1024">
        <v>181</v>
      </c>
      <c r="X25" s="1024">
        <v>190</v>
      </c>
      <c r="Y25" s="1024">
        <v>189</v>
      </c>
      <c r="Z25" s="1024">
        <v>183</v>
      </c>
      <c r="AA25" s="1024">
        <v>180</v>
      </c>
      <c r="AB25" s="1024">
        <v>178</v>
      </c>
      <c r="AC25" s="1024">
        <v>179</v>
      </c>
      <c r="AD25" s="1025">
        <v>176</v>
      </c>
      <c r="AE25" s="1026">
        <v>170</v>
      </c>
      <c r="AF25" s="1346">
        <f t="shared" si="10"/>
        <v>180</v>
      </c>
      <c r="AG25" s="1371">
        <f t="shared" si="11"/>
        <v>3.0430678632310051E-2</v>
      </c>
      <c r="AH25" s="1416">
        <v>159</v>
      </c>
      <c r="AI25" s="1413">
        <v>160</v>
      </c>
      <c r="AJ25" s="1061">
        <v>173</v>
      </c>
      <c r="AK25" s="1061">
        <v>170</v>
      </c>
      <c r="AL25" s="1061">
        <v>175</v>
      </c>
      <c r="AM25" s="1061">
        <v>181</v>
      </c>
      <c r="AN25" s="1061">
        <v>183</v>
      </c>
      <c r="AO25" s="1061">
        <v>186</v>
      </c>
      <c r="AP25" s="1061">
        <v>190</v>
      </c>
      <c r="AQ25" s="1061">
        <v>190</v>
      </c>
      <c r="AR25" s="1066">
        <v>197</v>
      </c>
      <c r="AS25" s="1060">
        <v>200</v>
      </c>
      <c r="AT25" s="1347">
        <f t="shared" si="12"/>
        <v>180.33333333333334</v>
      </c>
      <c r="AU25" s="2067">
        <f t="shared" si="13"/>
        <v>2.5787385154378735E-2</v>
      </c>
      <c r="AV25" s="2958">
        <v>270</v>
      </c>
      <c r="AW25" s="2959">
        <v>267</v>
      </c>
      <c r="AX25" s="1353">
        <v>267</v>
      </c>
      <c r="AY25" s="1353">
        <v>267</v>
      </c>
      <c r="AZ25" s="1353">
        <v>261</v>
      </c>
      <c r="BA25" s="1353">
        <v>257</v>
      </c>
      <c r="BB25" s="1353">
        <v>253</v>
      </c>
      <c r="BC25" s="1353">
        <v>247</v>
      </c>
      <c r="BD25" s="1353">
        <v>242</v>
      </c>
      <c r="BE25" s="1353">
        <v>235</v>
      </c>
      <c r="BF25" s="1406">
        <v>234</v>
      </c>
      <c r="BG25" s="1355">
        <v>233</v>
      </c>
      <c r="BH25" s="2069">
        <v>252.75</v>
      </c>
      <c r="BI25" s="1374">
        <v>0.03</v>
      </c>
    </row>
    <row r="26" spans="1:79" s="689" customFormat="1" ht="13.15">
      <c r="A26" s="688"/>
      <c r="B26" s="1340"/>
      <c r="C26" s="1340"/>
      <c r="D26" s="1441"/>
      <c r="P26" s="1441"/>
      <c r="T26" s="1441"/>
      <c r="AF26" s="1441"/>
    </row>
    <row r="27" spans="1:79" s="689" customFormat="1" ht="13.15">
      <c r="A27" s="688"/>
      <c r="B27" s="1340"/>
      <c r="C27" s="1340"/>
    </row>
    <row r="28" spans="1:79" s="689" customFormat="1" ht="13.9" thickBot="1">
      <c r="A28" s="688"/>
      <c r="B28" s="1340"/>
      <c r="C28" s="1340"/>
    </row>
    <row r="29" spans="1:79" ht="14.65" customHeight="1" thickBot="1">
      <c r="B29" s="1493" t="s">
        <v>12</v>
      </c>
      <c r="C29" s="1494" t="s">
        <v>13</v>
      </c>
      <c r="D29" s="3748" t="s">
        <v>14</v>
      </c>
      <c r="E29" s="3749"/>
      <c r="F29" s="3749"/>
      <c r="G29" s="3749"/>
      <c r="H29" s="3749"/>
      <c r="I29" s="3749"/>
      <c r="J29" s="3749"/>
      <c r="K29" s="3749"/>
      <c r="L29" s="3749"/>
      <c r="M29" s="3749"/>
      <c r="N29" s="3749"/>
      <c r="O29" s="3749"/>
      <c r="P29" s="3749"/>
      <c r="Q29" s="3750"/>
      <c r="R29" s="3759" t="s">
        <v>15</v>
      </c>
      <c r="S29" s="3760"/>
      <c r="T29" s="3748" t="s">
        <v>16</v>
      </c>
      <c r="U29" s="3749"/>
      <c r="V29" s="3749"/>
      <c r="W29" s="3749"/>
      <c r="X29" s="3749"/>
      <c r="Y29" s="3749"/>
      <c r="Z29" s="3749"/>
      <c r="AA29" s="3749"/>
      <c r="AB29" s="3749"/>
      <c r="AC29" s="3749"/>
      <c r="AD29" s="3749"/>
      <c r="AE29" s="3749"/>
      <c r="AF29" s="3749"/>
      <c r="AG29" s="3750"/>
      <c r="AH29" s="3754" t="s">
        <v>163</v>
      </c>
      <c r="AI29" s="3755"/>
      <c r="AJ29" s="3755"/>
      <c r="AK29" s="3755"/>
      <c r="AL29" s="3755"/>
      <c r="AM29" s="3755"/>
      <c r="AN29" s="3755"/>
      <c r="AO29" s="3755"/>
      <c r="AP29" s="3755"/>
      <c r="AQ29" s="3755"/>
      <c r="AR29" s="3755"/>
      <c r="AS29" s="3755"/>
      <c r="AT29" s="3755"/>
      <c r="AU29" s="3756"/>
      <c r="AV29" s="3754" t="s">
        <v>164</v>
      </c>
      <c r="AW29" s="3755"/>
      <c r="AX29" s="3755"/>
      <c r="AY29" s="3755"/>
      <c r="AZ29" s="3755"/>
      <c r="BA29" s="3755"/>
      <c r="BB29" s="3755"/>
      <c r="BC29" s="3755"/>
      <c r="BD29" s="3755"/>
      <c r="BE29" s="3755"/>
      <c r="BF29" s="3755"/>
      <c r="BG29" s="3755"/>
      <c r="BH29" s="3755"/>
      <c r="BI29" s="3756"/>
    </row>
    <row r="30" spans="1:79" ht="13.5" customHeight="1" thickBot="1">
      <c r="A30" s="909" t="s">
        <v>615</v>
      </c>
      <c r="B30" s="1495"/>
      <c r="C30" s="1496"/>
      <c r="D30" s="1430">
        <v>43951</v>
      </c>
      <c r="E30" s="1431">
        <v>43982</v>
      </c>
      <c r="F30" s="1430">
        <v>44012</v>
      </c>
      <c r="G30" s="1431">
        <v>44043</v>
      </c>
      <c r="H30" s="1432">
        <v>44074</v>
      </c>
      <c r="I30" s="1431">
        <v>44104</v>
      </c>
      <c r="J30" s="1430">
        <v>44135</v>
      </c>
      <c r="K30" s="1431">
        <v>44165</v>
      </c>
      <c r="L30" s="1430">
        <v>44196</v>
      </c>
      <c r="M30" s="1431">
        <v>44227</v>
      </c>
      <c r="N30" s="1432">
        <v>44255</v>
      </c>
      <c r="O30" s="1486">
        <v>44286</v>
      </c>
      <c r="P30" s="1433" t="s">
        <v>607</v>
      </c>
      <c r="Q30" s="1423" t="s">
        <v>296</v>
      </c>
      <c r="R30" s="1429" t="s">
        <v>607</v>
      </c>
      <c r="S30" s="1437" t="s">
        <v>296</v>
      </c>
      <c r="T30" s="1430">
        <v>44681</v>
      </c>
      <c r="U30" s="1431">
        <v>44712</v>
      </c>
      <c r="V30" s="1430">
        <v>44742</v>
      </c>
      <c r="W30" s="1431">
        <v>44773</v>
      </c>
      <c r="X30" s="1432">
        <v>44804</v>
      </c>
      <c r="Y30" s="1431">
        <v>44834</v>
      </c>
      <c r="Z30" s="1430">
        <v>44865</v>
      </c>
      <c r="AA30" s="1431">
        <v>44895</v>
      </c>
      <c r="AB30" s="1430">
        <v>44926</v>
      </c>
      <c r="AC30" s="1431">
        <v>44957</v>
      </c>
      <c r="AD30" s="1432">
        <v>44985</v>
      </c>
      <c r="AE30" s="1486">
        <v>45016</v>
      </c>
      <c r="AF30" s="1433" t="s">
        <v>607</v>
      </c>
      <c r="AG30" s="1423" t="s">
        <v>296</v>
      </c>
      <c r="AH30" s="1438">
        <v>45030</v>
      </c>
      <c r="AI30" s="1435">
        <v>45062</v>
      </c>
      <c r="AJ30" s="1434">
        <v>45094</v>
      </c>
      <c r="AK30" s="1435">
        <v>45126</v>
      </c>
      <c r="AL30" s="1434">
        <v>45158</v>
      </c>
      <c r="AM30" s="1435">
        <v>45190</v>
      </c>
      <c r="AN30" s="1434">
        <v>45222</v>
      </c>
      <c r="AO30" s="1435">
        <v>45254</v>
      </c>
      <c r="AP30" s="1434">
        <v>45286</v>
      </c>
      <c r="AQ30" s="1435">
        <v>45318</v>
      </c>
      <c r="AR30" s="1434">
        <v>45350</v>
      </c>
      <c r="AS30" s="1511">
        <v>45382</v>
      </c>
      <c r="AT30" s="1436" t="s">
        <v>607</v>
      </c>
      <c r="AU30" s="1437" t="s">
        <v>296</v>
      </c>
      <c r="AV30" s="1434">
        <v>45396</v>
      </c>
      <c r="AW30" s="1435">
        <v>45428</v>
      </c>
      <c r="AX30" s="1434">
        <v>45460</v>
      </c>
      <c r="AY30" s="1434">
        <v>45492</v>
      </c>
      <c r="AZ30" s="1435">
        <v>45524</v>
      </c>
      <c r="BA30" s="1434">
        <v>45556</v>
      </c>
      <c r="BB30" s="1434">
        <v>45588</v>
      </c>
      <c r="BC30" s="1435">
        <v>45620</v>
      </c>
      <c r="BD30" s="1434">
        <v>45652</v>
      </c>
      <c r="BE30" s="1434">
        <v>45684</v>
      </c>
      <c r="BF30" s="1435">
        <v>45716</v>
      </c>
      <c r="BG30" s="1434">
        <v>45717</v>
      </c>
      <c r="BH30" s="1436" t="s">
        <v>607</v>
      </c>
      <c r="BI30" s="1437" t="s">
        <v>296</v>
      </c>
    </row>
    <row r="31" spans="1:79">
      <c r="A31" s="910" t="s">
        <v>251</v>
      </c>
      <c r="B31" s="1598" t="s">
        <v>252</v>
      </c>
      <c r="C31" s="1598" t="s">
        <v>252</v>
      </c>
      <c r="D31" s="521">
        <v>4</v>
      </c>
      <c r="E31" s="513">
        <v>2</v>
      </c>
      <c r="F31" s="521">
        <v>2</v>
      </c>
      <c r="G31" s="521">
        <v>1</v>
      </c>
      <c r="H31" s="521">
        <v>2</v>
      </c>
      <c r="I31" s="521">
        <v>4</v>
      </c>
      <c r="J31" s="521">
        <v>1</v>
      </c>
      <c r="K31" s="521">
        <v>8</v>
      </c>
      <c r="L31" s="521">
        <v>4</v>
      </c>
      <c r="M31" s="521">
        <v>6</v>
      </c>
      <c r="N31" s="521">
        <v>8</v>
      </c>
      <c r="O31" s="519">
        <v>9</v>
      </c>
      <c r="P31" s="1349">
        <f>AVERAGE(D31:O31)</f>
        <v>4.25</v>
      </c>
      <c r="Q31" s="1370">
        <f>P31/(P31+P32)</f>
        <v>0.67105263157894735</v>
      </c>
      <c r="R31" s="1349" t="s">
        <v>616</v>
      </c>
      <c r="S31" s="1370" t="s">
        <v>24</v>
      </c>
      <c r="T31" s="521">
        <v>233</v>
      </c>
      <c r="U31" s="513">
        <v>291</v>
      </c>
      <c r="V31" s="521">
        <v>248</v>
      </c>
      <c r="W31" s="521">
        <v>225</v>
      </c>
      <c r="X31" s="521">
        <v>194</v>
      </c>
      <c r="Y31" s="521">
        <v>98</v>
      </c>
      <c r="Z31" s="521">
        <v>153</v>
      </c>
      <c r="AA31" s="521">
        <v>135</v>
      </c>
      <c r="AB31" s="521">
        <v>71</v>
      </c>
      <c r="AC31" s="521">
        <v>137</v>
      </c>
      <c r="AD31" s="521">
        <v>108</v>
      </c>
      <c r="AE31" s="519">
        <v>157</v>
      </c>
      <c r="AF31" s="1349">
        <f>AVERAGE(T31:AE31)</f>
        <v>170.83333333333334</v>
      </c>
      <c r="AG31" s="1370">
        <f>AF31/(AF31+AF32)</f>
        <v>0.67970822281167109</v>
      </c>
      <c r="AH31" s="1361">
        <v>139</v>
      </c>
      <c r="AI31" s="1057">
        <v>138</v>
      </c>
      <c r="AJ31" s="1058">
        <v>93</v>
      </c>
      <c r="AK31" s="1057">
        <v>136</v>
      </c>
      <c r="AL31" s="1059">
        <v>84</v>
      </c>
      <c r="AM31" s="1058">
        <v>75</v>
      </c>
      <c r="AN31" s="1057">
        <v>127</v>
      </c>
      <c r="AO31" s="1056">
        <v>107</v>
      </c>
      <c r="AP31" s="1058">
        <v>27</v>
      </c>
      <c r="AQ31" s="1057">
        <v>104</v>
      </c>
      <c r="AR31" s="1057">
        <v>126</v>
      </c>
      <c r="AS31" s="1055">
        <v>141</v>
      </c>
      <c r="AT31" s="1349">
        <f>AVERAGE(AH31:AS31)</f>
        <v>108.08333333333333</v>
      </c>
      <c r="AU31" s="1370">
        <f>AT31/(AT31+AT32)</f>
        <v>0.61673799334284352</v>
      </c>
      <c r="AV31" s="1361">
        <v>159</v>
      </c>
      <c r="AW31" s="1057">
        <v>119</v>
      </c>
      <c r="AX31" s="1058">
        <v>131</v>
      </c>
      <c r="AY31" s="1057">
        <v>164</v>
      </c>
      <c r="AZ31" s="1059">
        <v>137</v>
      </c>
      <c r="BA31" s="1057">
        <v>145</v>
      </c>
      <c r="BB31" s="1057">
        <v>129</v>
      </c>
      <c r="BC31" s="1056">
        <v>126</v>
      </c>
      <c r="BD31" s="1057">
        <v>47</v>
      </c>
      <c r="BE31" s="1057">
        <v>79</v>
      </c>
      <c r="BF31" s="1057">
        <v>72</v>
      </c>
      <c r="BG31" s="1055">
        <v>138</v>
      </c>
      <c r="BH31" s="1349">
        <v>120.5</v>
      </c>
      <c r="BI31" s="1370">
        <v>0.57899999999999996</v>
      </c>
      <c r="BZ31" s="692">
        <f>AF6+AF7</f>
        <v>5919.333333333333</v>
      </c>
    </row>
    <row r="32" spans="1:79" ht="12.6" thickBot="1">
      <c r="A32" s="911" t="s">
        <v>253</v>
      </c>
      <c r="B32" s="1597" t="s">
        <v>252</v>
      </c>
      <c r="C32" s="1597" t="s">
        <v>252</v>
      </c>
      <c r="D32" s="1033">
        <v>4</v>
      </c>
      <c r="E32" s="1025">
        <v>0</v>
      </c>
      <c r="F32" s="1033">
        <v>0</v>
      </c>
      <c r="G32" s="1033">
        <v>2</v>
      </c>
      <c r="H32" s="1033">
        <v>0</v>
      </c>
      <c r="I32" s="1033">
        <v>1</v>
      </c>
      <c r="J32" s="1033">
        <v>1</v>
      </c>
      <c r="K32" s="1033">
        <v>2</v>
      </c>
      <c r="L32" s="1033">
        <v>1</v>
      </c>
      <c r="M32" s="1033">
        <v>6</v>
      </c>
      <c r="N32" s="1033">
        <v>3</v>
      </c>
      <c r="O32" s="1026">
        <v>5</v>
      </c>
      <c r="P32" s="1501">
        <f>AVERAGE(D32:O32)</f>
        <v>2.0833333333333335</v>
      </c>
      <c r="Q32" s="1372">
        <f>P32/(P31+P32)</f>
        <v>0.3289473684210526</v>
      </c>
      <c r="R32" s="1362" t="s">
        <v>616</v>
      </c>
      <c r="S32" s="1371" t="s">
        <v>24</v>
      </c>
      <c r="T32" s="1033">
        <v>115</v>
      </c>
      <c r="U32" s="1025">
        <v>132</v>
      </c>
      <c r="V32" s="1033">
        <v>118</v>
      </c>
      <c r="W32" s="1033">
        <v>104</v>
      </c>
      <c r="X32" s="1033">
        <v>58</v>
      </c>
      <c r="Y32" s="1033">
        <v>54</v>
      </c>
      <c r="Z32" s="1033">
        <v>72</v>
      </c>
      <c r="AA32" s="1033">
        <v>65</v>
      </c>
      <c r="AB32" s="1033">
        <v>28</v>
      </c>
      <c r="AC32" s="1033">
        <v>89</v>
      </c>
      <c r="AD32" s="1033">
        <v>67</v>
      </c>
      <c r="AE32" s="1026">
        <v>64</v>
      </c>
      <c r="AF32" s="1501">
        <f>AVERAGE(T32:AE32)</f>
        <v>80.5</v>
      </c>
      <c r="AG32" s="1372">
        <f>AF32/(AF31+AF32)</f>
        <v>0.32029177718832891</v>
      </c>
      <c r="AH32" s="1356">
        <v>86</v>
      </c>
      <c r="AI32" s="1353">
        <v>110</v>
      </c>
      <c r="AJ32" s="1354">
        <v>70</v>
      </c>
      <c r="AK32" s="1353">
        <v>101</v>
      </c>
      <c r="AL32" s="1354">
        <v>49</v>
      </c>
      <c r="AM32" s="1356">
        <v>38</v>
      </c>
      <c r="AN32" s="1353">
        <v>76</v>
      </c>
      <c r="AO32" s="1355">
        <v>66</v>
      </c>
      <c r="AP32" s="1354">
        <v>16</v>
      </c>
      <c r="AQ32" s="1353">
        <v>77</v>
      </c>
      <c r="AR32" s="1406">
        <v>47</v>
      </c>
      <c r="AS32" s="1355">
        <v>70</v>
      </c>
      <c r="AT32" s="1362">
        <f>AVERAGE(AH32:AS32)</f>
        <v>67.166666666666671</v>
      </c>
      <c r="AU32" s="1371">
        <f>AT32/(AT31+AT32)</f>
        <v>0.38326200665715648</v>
      </c>
      <c r="AV32" s="1356">
        <v>111</v>
      </c>
      <c r="AW32" s="1353">
        <v>123</v>
      </c>
      <c r="AX32" s="1354">
        <v>84</v>
      </c>
      <c r="AY32" s="1353">
        <v>110</v>
      </c>
      <c r="AZ32" s="1354">
        <v>81</v>
      </c>
      <c r="BA32" s="1356">
        <v>114</v>
      </c>
      <c r="BB32" s="1354">
        <v>78</v>
      </c>
      <c r="BC32" s="1355">
        <v>91</v>
      </c>
      <c r="BD32" s="1354">
        <v>34</v>
      </c>
      <c r="BE32" s="1353">
        <v>80</v>
      </c>
      <c r="BF32" s="1406">
        <v>45</v>
      </c>
      <c r="BG32" s="1355">
        <v>103</v>
      </c>
      <c r="BH32" s="1362">
        <v>87.83</v>
      </c>
      <c r="BI32" s="1371">
        <v>0.42099999999999999</v>
      </c>
      <c r="BZ32" s="687">
        <f>AF7/BZ31</f>
        <v>0.34546401621804262</v>
      </c>
      <c r="CA32" s="687">
        <f>AF6/BZ31</f>
        <v>0.65453598378195743</v>
      </c>
    </row>
    <row r="33" spans="1:79">
      <c r="A33" s="699"/>
      <c r="B33" s="1444"/>
      <c r="C33" s="1444"/>
      <c r="D33" s="690"/>
      <c r="E33" s="690"/>
      <c r="F33" s="690"/>
      <c r="G33" s="690"/>
      <c r="H33" s="690"/>
      <c r="I33" s="690"/>
      <c r="J33" s="690"/>
      <c r="K33" s="690"/>
      <c r="L33" s="690"/>
      <c r="M33" s="690"/>
      <c r="N33" s="690"/>
      <c r="O33" s="690"/>
      <c r="P33" s="1359"/>
      <c r="Q33" s="1379"/>
      <c r="R33" s="690"/>
      <c r="S33" s="1360"/>
      <c r="T33" s="690"/>
      <c r="U33" s="690"/>
      <c r="V33" s="690"/>
      <c r="W33" s="690"/>
      <c r="X33" s="690"/>
      <c r="Y33" s="690"/>
      <c r="Z33" s="690"/>
      <c r="AA33" s="690"/>
      <c r="AB33" s="690"/>
      <c r="AC33" s="690"/>
      <c r="AD33" s="690"/>
      <c r="AE33" s="690"/>
      <c r="AF33" s="1359"/>
      <c r="AG33" s="1379"/>
      <c r="AH33" s="690"/>
      <c r="AI33" s="690"/>
      <c r="AJ33" s="690"/>
      <c r="AK33" s="690"/>
      <c r="AL33" s="690"/>
      <c r="AM33" s="690"/>
      <c r="AN33" s="690"/>
      <c r="AO33" s="690"/>
      <c r="AP33" s="690"/>
      <c r="AQ33" s="690"/>
      <c r="AR33" s="690"/>
      <c r="AS33" s="690"/>
      <c r="AT33" s="690"/>
      <c r="AU33" s="1360"/>
      <c r="AV33" s="690"/>
      <c r="AW33" s="690"/>
      <c r="AX33" s="690"/>
      <c r="AY33" s="690"/>
      <c r="AZ33" s="690"/>
      <c r="BA33" s="690"/>
      <c r="BB33" s="690"/>
      <c r="BC33" s="690"/>
      <c r="BD33" s="690"/>
      <c r="BE33" s="690"/>
      <c r="BF33" s="690"/>
      <c r="BG33" s="690"/>
      <c r="BH33" s="690"/>
      <c r="BI33" s="690"/>
      <c r="BZ33" s="687">
        <f>BZ32*100</f>
        <v>34.546401621804264</v>
      </c>
      <c r="CA33" s="687">
        <f>CA32*100</f>
        <v>65.45359837819575</v>
      </c>
    </row>
    <row r="34" spans="1:79" ht="13.15">
      <c r="A34" s="909" t="s">
        <v>615</v>
      </c>
      <c r="B34" s="1443" t="s">
        <v>607</v>
      </c>
      <c r="C34" s="1443" t="s">
        <v>607</v>
      </c>
      <c r="D34" s="1021">
        <v>43951</v>
      </c>
      <c r="E34" s="1020">
        <v>43982</v>
      </c>
      <c r="F34" s="1021">
        <v>44012</v>
      </c>
      <c r="G34" s="1020">
        <v>44043</v>
      </c>
      <c r="H34" s="1022">
        <v>44074</v>
      </c>
      <c r="I34" s="1020">
        <v>44104</v>
      </c>
      <c r="J34" s="1021">
        <v>44135</v>
      </c>
      <c r="K34" s="1020">
        <v>44165</v>
      </c>
      <c r="L34" s="1021">
        <v>44196</v>
      </c>
      <c r="M34" s="1020">
        <v>44227</v>
      </c>
      <c r="N34" s="1021">
        <v>44255</v>
      </c>
      <c r="O34" s="1023">
        <v>44286</v>
      </c>
      <c r="P34" s="1382" t="s">
        <v>607</v>
      </c>
      <c r="Q34" s="1390" t="s">
        <v>296</v>
      </c>
      <c r="R34" s="1348" t="s">
        <v>607</v>
      </c>
      <c r="S34" s="1341" t="s">
        <v>296</v>
      </c>
      <c r="T34" s="1021">
        <v>44681</v>
      </c>
      <c r="U34" s="1020">
        <v>44712</v>
      </c>
      <c r="V34" s="1021">
        <v>44742</v>
      </c>
      <c r="W34" s="1020">
        <v>44773</v>
      </c>
      <c r="X34" s="1022">
        <v>44804</v>
      </c>
      <c r="Y34" s="1020">
        <v>44834</v>
      </c>
      <c r="Z34" s="1021">
        <v>44865</v>
      </c>
      <c r="AA34" s="1020">
        <v>44895</v>
      </c>
      <c r="AB34" s="1021">
        <v>44926</v>
      </c>
      <c r="AC34" s="1020">
        <v>44957</v>
      </c>
      <c r="AD34" s="1021">
        <v>44985</v>
      </c>
      <c r="AE34" s="1023">
        <v>45016</v>
      </c>
      <c r="AF34" s="1382" t="s">
        <v>607</v>
      </c>
      <c r="AG34" s="1390" t="s">
        <v>296</v>
      </c>
      <c r="AH34" s="1035">
        <v>45030</v>
      </c>
      <c r="AI34" s="1029">
        <v>45062</v>
      </c>
      <c r="AJ34" s="1029">
        <v>45094</v>
      </c>
      <c r="AK34" s="1030">
        <v>45126</v>
      </c>
      <c r="AL34" s="1029">
        <v>45158</v>
      </c>
      <c r="AM34" s="1030">
        <v>45190</v>
      </c>
      <c r="AN34" s="1029">
        <v>45222</v>
      </c>
      <c r="AO34" s="1030">
        <v>45254</v>
      </c>
      <c r="AP34" s="1029">
        <v>45286</v>
      </c>
      <c r="AQ34" s="1030">
        <v>45318</v>
      </c>
      <c r="AR34" s="1029">
        <v>45350</v>
      </c>
      <c r="AS34" s="1030">
        <v>45382</v>
      </c>
      <c r="AT34" s="1348" t="s">
        <v>607</v>
      </c>
      <c r="AU34" s="2062" t="s">
        <v>296</v>
      </c>
      <c r="AV34" s="2061">
        <v>45396</v>
      </c>
      <c r="AW34" s="908">
        <v>45428</v>
      </c>
      <c r="AX34" s="907">
        <v>45460</v>
      </c>
      <c r="AY34" s="907">
        <v>45492</v>
      </c>
      <c r="AZ34" s="908">
        <v>45524</v>
      </c>
      <c r="BA34" s="907">
        <v>45556</v>
      </c>
      <c r="BB34" s="907">
        <v>45588</v>
      </c>
      <c r="BC34" s="908">
        <v>45620</v>
      </c>
      <c r="BD34" s="907">
        <v>45652</v>
      </c>
      <c r="BE34" s="907">
        <v>45684</v>
      </c>
      <c r="BF34" s="908">
        <v>45716</v>
      </c>
      <c r="BG34" s="1434">
        <v>45717</v>
      </c>
      <c r="BH34" s="2064" t="s">
        <v>607</v>
      </c>
      <c r="BI34" s="2040" t="s">
        <v>296</v>
      </c>
    </row>
    <row r="35" spans="1:79">
      <c r="A35" s="910" t="s">
        <v>274</v>
      </c>
      <c r="B35" s="1598" t="s">
        <v>252</v>
      </c>
      <c r="C35" s="1598" t="s">
        <v>252</v>
      </c>
      <c r="D35" s="521">
        <v>4</v>
      </c>
      <c r="E35" s="513">
        <v>0</v>
      </c>
      <c r="F35" s="521">
        <v>0</v>
      </c>
      <c r="G35" s="521">
        <v>0</v>
      </c>
      <c r="H35" s="521">
        <v>0</v>
      </c>
      <c r="I35" s="521">
        <v>0</v>
      </c>
      <c r="J35" s="521">
        <v>0</v>
      </c>
      <c r="K35" s="521">
        <v>1</v>
      </c>
      <c r="L35" s="521">
        <v>0</v>
      </c>
      <c r="M35" s="521">
        <v>11</v>
      </c>
      <c r="N35" s="521">
        <v>8</v>
      </c>
      <c r="O35" s="514">
        <v>9</v>
      </c>
      <c r="P35" s="1383">
        <f>AVERAGE(D35:O35)</f>
        <v>2.75</v>
      </c>
      <c r="Q35" s="1366">
        <f>P35/SUM($P$35:$P$42)</f>
        <v>0.43421052631578949</v>
      </c>
      <c r="R35" s="1351" t="s">
        <v>616</v>
      </c>
      <c r="S35" s="1366" t="s">
        <v>24</v>
      </c>
      <c r="T35" s="521">
        <v>49</v>
      </c>
      <c r="U35" s="513">
        <v>38</v>
      </c>
      <c r="V35" s="521">
        <v>39</v>
      </c>
      <c r="W35" s="521">
        <v>36</v>
      </c>
      <c r="X35" s="521">
        <v>18</v>
      </c>
      <c r="Y35" s="521">
        <v>10</v>
      </c>
      <c r="Z35" s="521">
        <v>14</v>
      </c>
      <c r="AA35" s="521">
        <v>16</v>
      </c>
      <c r="AB35" s="521">
        <v>12</v>
      </c>
      <c r="AC35" s="521">
        <v>35</v>
      </c>
      <c r="AD35" s="521">
        <v>35</v>
      </c>
      <c r="AE35" s="514">
        <v>42</v>
      </c>
      <c r="AF35" s="1383">
        <f>AVERAGE(T35:AE35)</f>
        <v>28.666666666666668</v>
      </c>
      <c r="AG35" s="1366">
        <f>AF35/SUM($AF$35:$AF$42)</f>
        <v>0.11405835543766578</v>
      </c>
      <c r="AH35" s="1056">
        <v>57</v>
      </c>
      <c r="AI35" s="1057">
        <v>31</v>
      </c>
      <c r="AJ35" s="1056">
        <v>11</v>
      </c>
      <c r="AK35" s="1056">
        <v>28</v>
      </c>
      <c r="AL35" s="1056">
        <v>11</v>
      </c>
      <c r="AM35" s="1056">
        <v>4</v>
      </c>
      <c r="AN35" s="1056">
        <v>18</v>
      </c>
      <c r="AO35" s="1056">
        <v>16</v>
      </c>
      <c r="AP35" s="1056">
        <v>9</v>
      </c>
      <c r="AQ35" s="1056">
        <v>13</v>
      </c>
      <c r="AR35" s="1057">
        <v>36</v>
      </c>
      <c r="AS35" s="1055">
        <v>36</v>
      </c>
      <c r="AT35" s="1351">
        <f>AVERAGE(AH35:AS35)</f>
        <v>22.5</v>
      </c>
      <c r="AU35" s="1514">
        <f t="shared" ref="AU35:AU42" si="14">AT35/SUM($AT$35:$AT$42)</f>
        <v>0.13228809407153355</v>
      </c>
      <c r="AV35" s="2961">
        <v>28</v>
      </c>
      <c r="AW35" s="1057">
        <v>23</v>
      </c>
      <c r="AX35" s="1056">
        <v>12</v>
      </c>
      <c r="AY35" s="1056">
        <v>25</v>
      </c>
      <c r="AZ35" s="1056">
        <v>8</v>
      </c>
      <c r="BA35" s="1056">
        <v>3</v>
      </c>
      <c r="BB35" s="1056">
        <v>7</v>
      </c>
      <c r="BC35" s="1056">
        <v>3</v>
      </c>
      <c r="BD35" s="1056">
        <v>4</v>
      </c>
      <c r="BE35" s="1056">
        <v>20</v>
      </c>
      <c r="BF35" s="1057">
        <v>37</v>
      </c>
      <c r="BG35" s="1055">
        <v>12</v>
      </c>
      <c r="BH35" s="1351">
        <v>15.2</v>
      </c>
      <c r="BI35" s="2065">
        <v>7.1999999999999995E-2</v>
      </c>
    </row>
    <row r="36" spans="1:79">
      <c r="A36" s="912" t="s">
        <v>278</v>
      </c>
      <c r="B36" s="1599" t="s">
        <v>252</v>
      </c>
      <c r="C36" s="1599" t="s">
        <v>252</v>
      </c>
      <c r="D36" s="187">
        <v>0</v>
      </c>
      <c r="E36" s="188">
        <v>0</v>
      </c>
      <c r="F36" s="187">
        <v>1</v>
      </c>
      <c r="G36" s="187">
        <v>0</v>
      </c>
      <c r="H36" s="187">
        <v>0</v>
      </c>
      <c r="I36" s="187">
        <v>1</v>
      </c>
      <c r="J36" s="187">
        <v>0</v>
      </c>
      <c r="K36" s="187">
        <v>9</v>
      </c>
      <c r="L36" s="187">
        <v>0</v>
      </c>
      <c r="M36" s="187">
        <v>0</v>
      </c>
      <c r="N36" s="187">
        <v>0</v>
      </c>
      <c r="O36" s="520">
        <v>0</v>
      </c>
      <c r="P36" s="1383">
        <f t="shared" ref="P36:P42" si="15">AVERAGE(D36:O36)</f>
        <v>0.91666666666666663</v>
      </c>
      <c r="Q36" s="1366">
        <f>P36/SUM($P$35:$P$42)</f>
        <v>0.14473684210526316</v>
      </c>
      <c r="R36" s="1351" t="s">
        <v>616</v>
      </c>
      <c r="S36" s="1366" t="s">
        <v>24</v>
      </c>
      <c r="T36" s="187">
        <v>114</v>
      </c>
      <c r="U36" s="188">
        <v>110</v>
      </c>
      <c r="V36" s="187">
        <v>91</v>
      </c>
      <c r="W36" s="187">
        <v>62</v>
      </c>
      <c r="X36" s="187">
        <v>31</v>
      </c>
      <c r="Y36" s="187">
        <v>48</v>
      </c>
      <c r="Z36" s="187">
        <v>46</v>
      </c>
      <c r="AA36" s="187">
        <v>53</v>
      </c>
      <c r="AB36" s="187">
        <v>5</v>
      </c>
      <c r="AC36" s="187">
        <v>48</v>
      </c>
      <c r="AD36" s="187">
        <v>20</v>
      </c>
      <c r="AE36" s="520">
        <v>60</v>
      </c>
      <c r="AF36" s="1383">
        <f t="shared" ref="AF36:AF42" si="16">AVERAGE(T36:AE36)</f>
        <v>57.333333333333336</v>
      </c>
      <c r="AG36" s="1366">
        <f>AF36/SUM($AF$35:$AF$42)</f>
        <v>0.22811671087533156</v>
      </c>
      <c r="AH36" s="1064">
        <v>55</v>
      </c>
      <c r="AI36" s="1065">
        <v>74</v>
      </c>
      <c r="AJ36" s="1064">
        <v>34</v>
      </c>
      <c r="AK36" s="1064">
        <v>30</v>
      </c>
      <c r="AL36" s="1064">
        <v>18</v>
      </c>
      <c r="AM36" s="1064">
        <v>25</v>
      </c>
      <c r="AN36" s="1064">
        <v>65</v>
      </c>
      <c r="AO36" s="1064">
        <v>36</v>
      </c>
      <c r="AP36" s="1064">
        <v>12</v>
      </c>
      <c r="AQ36" s="1064">
        <v>65</v>
      </c>
      <c r="AR36" s="1065">
        <v>48</v>
      </c>
      <c r="AS36" s="1063">
        <v>72</v>
      </c>
      <c r="AT36" s="1351">
        <f t="shared" ref="AT36:AT42" si="17">AVERAGE(AH36:AS36)</f>
        <v>44.5</v>
      </c>
      <c r="AU36" s="1514">
        <f t="shared" si="14"/>
        <v>0.26163645271925523</v>
      </c>
      <c r="AV36" s="2962">
        <v>57</v>
      </c>
      <c r="AW36" s="1065">
        <v>91</v>
      </c>
      <c r="AX36" s="1064">
        <v>47</v>
      </c>
      <c r="AY36" s="1064">
        <v>86</v>
      </c>
      <c r="AZ36" s="1064">
        <v>60</v>
      </c>
      <c r="BA36" s="1064">
        <v>67</v>
      </c>
      <c r="BB36" s="1064">
        <v>32</v>
      </c>
      <c r="BC36" s="1064">
        <v>58</v>
      </c>
      <c r="BD36" s="1064">
        <v>26</v>
      </c>
      <c r="BE36" s="1064">
        <v>15</v>
      </c>
      <c r="BF36" s="1065">
        <v>6</v>
      </c>
      <c r="BG36" s="1063">
        <v>17</v>
      </c>
      <c r="BH36" s="1351">
        <v>47</v>
      </c>
      <c r="BI36" s="2065">
        <v>0.22500000000000001</v>
      </c>
    </row>
    <row r="37" spans="1:79">
      <c r="A37" s="912" t="s">
        <v>279</v>
      </c>
      <c r="B37" s="1599" t="s">
        <v>252</v>
      </c>
      <c r="C37" s="1599" t="s">
        <v>252</v>
      </c>
      <c r="D37" s="187">
        <v>4</v>
      </c>
      <c r="E37" s="188">
        <v>2</v>
      </c>
      <c r="F37" s="187">
        <v>1</v>
      </c>
      <c r="G37" s="187">
        <v>2</v>
      </c>
      <c r="H37" s="187">
        <v>2</v>
      </c>
      <c r="I37" s="187">
        <v>4</v>
      </c>
      <c r="J37" s="187">
        <v>2</v>
      </c>
      <c r="K37" s="187">
        <v>0</v>
      </c>
      <c r="L37" s="187">
        <v>5</v>
      </c>
      <c r="M37" s="187">
        <v>1</v>
      </c>
      <c r="N37" s="187">
        <v>2</v>
      </c>
      <c r="O37" s="515">
        <v>5</v>
      </c>
      <c r="P37" s="1383">
        <f t="shared" si="15"/>
        <v>2.5</v>
      </c>
      <c r="Q37" s="1366">
        <f>P37/SUM($P$35:$P$42)</f>
        <v>0.39473684210526316</v>
      </c>
      <c r="R37" s="1351" t="s">
        <v>616</v>
      </c>
      <c r="S37" s="1366" t="s">
        <v>24</v>
      </c>
      <c r="T37" s="187">
        <v>185</v>
      </c>
      <c r="U37" s="188">
        <v>275</v>
      </c>
      <c r="V37" s="187">
        <v>236</v>
      </c>
      <c r="W37" s="187">
        <v>229</v>
      </c>
      <c r="X37" s="187">
        <v>203</v>
      </c>
      <c r="Y37" s="187">
        <v>94</v>
      </c>
      <c r="Z37" s="187">
        <v>163</v>
      </c>
      <c r="AA37" s="187">
        <v>130</v>
      </c>
      <c r="AB37" s="187">
        <v>82</v>
      </c>
      <c r="AC37" s="187">
        <v>138</v>
      </c>
      <c r="AD37" s="187">
        <v>120</v>
      </c>
      <c r="AE37" s="515">
        <v>119</v>
      </c>
      <c r="AF37" s="1383">
        <f t="shared" si="16"/>
        <v>164.5</v>
      </c>
      <c r="AG37" s="1366">
        <f>AF37/SUM($AF$35:$AF$42)</f>
        <v>0.65450928381962858</v>
      </c>
      <c r="AH37" s="1064">
        <v>113</v>
      </c>
      <c r="AI37" s="1065">
        <v>134</v>
      </c>
      <c r="AJ37" s="1064">
        <v>111</v>
      </c>
      <c r="AK37" s="1064">
        <v>162</v>
      </c>
      <c r="AL37" s="1064">
        <v>95</v>
      </c>
      <c r="AM37" s="1064">
        <v>80</v>
      </c>
      <c r="AN37" s="1064">
        <v>118</v>
      </c>
      <c r="AO37" s="1064">
        <v>120</v>
      </c>
      <c r="AP37" s="1064">
        <v>21</v>
      </c>
      <c r="AQ37" s="1064">
        <v>102</v>
      </c>
      <c r="AR37" s="1065">
        <v>84</v>
      </c>
      <c r="AS37" s="1063">
        <v>95</v>
      </c>
      <c r="AT37" s="1351">
        <f t="shared" si="17"/>
        <v>102.91666666666667</v>
      </c>
      <c r="AU37" s="1514">
        <f t="shared" si="14"/>
        <v>0.60509554140127386</v>
      </c>
      <c r="AV37" s="2962">
        <v>118</v>
      </c>
      <c r="AW37" s="1065">
        <v>72</v>
      </c>
      <c r="AX37" s="1064">
        <v>103</v>
      </c>
      <c r="AY37" s="1064">
        <v>102</v>
      </c>
      <c r="AZ37" s="1064">
        <v>89</v>
      </c>
      <c r="BA37" s="1064">
        <v>150</v>
      </c>
      <c r="BB37" s="1064">
        <v>109</v>
      </c>
      <c r="BC37" s="1064">
        <v>116</v>
      </c>
      <c r="BD37" s="1064">
        <v>21</v>
      </c>
      <c r="BE37" s="1064">
        <v>82</v>
      </c>
      <c r="BF37" s="1065">
        <v>41</v>
      </c>
      <c r="BG37" s="1063">
        <v>160</v>
      </c>
      <c r="BH37" s="1351">
        <v>97</v>
      </c>
      <c r="BI37" s="2065" t="s">
        <v>617</v>
      </c>
    </row>
    <row r="38" spans="1:79">
      <c r="A38" s="912" t="s">
        <v>176</v>
      </c>
      <c r="B38" s="1599"/>
      <c r="C38" s="1599"/>
      <c r="D38" s="187"/>
      <c r="E38" s="188"/>
      <c r="F38" s="187"/>
      <c r="G38" s="187"/>
      <c r="H38" s="187"/>
      <c r="I38" s="187"/>
      <c r="J38" s="187"/>
      <c r="K38" s="187"/>
      <c r="L38" s="187"/>
      <c r="M38" s="187"/>
      <c r="N38" s="187"/>
      <c r="O38" s="515"/>
      <c r="P38" s="1383"/>
      <c r="Q38" s="1366"/>
      <c r="R38" s="1351"/>
      <c r="S38" s="1366"/>
      <c r="T38" s="187"/>
      <c r="U38" s="188"/>
      <c r="V38" s="187"/>
      <c r="W38" s="187"/>
      <c r="X38" s="187"/>
      <c r="Y38" s="187"/>
      <c r="Z38" s="187"/>
      <c r="AA38" s="187"/>
      <c r="AB38" s="187"/>
      <c r="AC38" s="187"/>
      <c r="AD38" s="187"/>
      <c r="AE38" s="515"/>
      <c r="AF38" s="1383"/>
      <c r="AG38" s="1366"/>
      <c r="AH38" s="1064"/>
      <c r="AI38" s="1065"/>
      <c r="AJ38" s="1064"/>
      <c r="AK38" s="1064"/>
      <c r="AL38" s="1064"/>
      <c r="AM38" s="1064"/>
      <c r="AN38" s="1064"/>
      <c r="AO38" s="1064"/>
      <c r="AP38" s="1064"/>
      <c r="AQ38" s="1064"/>
      <c r="AR38" s="1065"/>
      <c r="AS38" s="1063"/>
      <c r="AT38" s="1351"/>
      <c r="AU38" s="1514"/>
      <c r="AV38" s="2962">
        <v>45</v>
      </c>
      <c r="AW38" s="1065">
        <v>27</v>
      </c>
      <c r="AX38" s="1064">
        <v>25</v>
      </c>
      <c r="AY38" s="1064">
        <v>28</v>
      </c>
      <c r="AZ38" s="1064">
        <v>20</v>
      </c>
      <c r="BA38" s="1064">
        <v>13</v>
      </c>
      <c r="BB38" s="1064">
        <v>11</v>
      </c>
      <c r="BC38" s="1064">
        <v>6</v>
      </c>
      <c r="BD38" s="1064">
        <v>3</v>
      </c>
      <c r="BE38" s="1064">
        <v>11</v>
      </c>
      <c r="BF38" s="1065">
        <v>11</v>
      </c>
      <c r="BG38" s="1063">
        <v>27</v>
      </c>
      <c r="BH38" s="1351">
        <v>19</v>
      </c>
      <c r="BI38" s="2065">
        <v>9.0999999999999998E-2</v>
      </c>
    </row>
    <row r="39" spans="1:79">
      <c r="A39" s="912" t="s">
        <v>177</v>
      </c>
      <c r="B39" s="1599" t="s">
        <v>252</v>
      </c>
      <c r="C39" s="1599" t="s">
        <v>252</v>
      </c>
      <c r="D39" s="187">
        <v>0</v>
      </c>
      <c r="E39" s="188">
        <v>0</v>
      </c>
      <c r="F39" s="187">
        <v>0</v>
      </c>
      <c r="G39" s="187">
        <v>1</v>
      </c>
      <c r="H39" s="187">
        <v>0</v>
      </c>
      <c r="I39" s="187">
        <v>0</v>
      </c>
      <c r="J39" s="187">
        <v>0</v>
      </c>
      <c r="K39" s="187">
        <v>0</v>
      </c>
      <c r="L39" s="187">
        <v>0</v>
      </c>
      <c r="M39" s="187">
        <v>0</v>
      </c>
      <c r="N39" s="187">
        <v>1</v>
      </c>
      <c r="O39" s="515">
        <v>0</v>
      </c>
      <c r="P39" s="1383">
        <f t="shared" si="15"/>
        <v>0.16666666666666666</v>
      </c>
      <c r="Q39" s="1366">
        <f>P39/SUM($P$35:$P$42)</f>
        <v>2.6315789473684209E-2</v>
      </c>
      <c r="R39" s="1351" t="s">
        <v>616</v>
      </c>
      <c r="S39" s="1366" t="s">
        <v>24</v>
      </c>
      <c r="T39" s="187">
        <v>0</v>
      </c>
      <c r="U39" s="188">
        <v>0</v>
      </c>
      <c r="V39" s="187">
        <v>0</v>
      </c>
      <c r="W39" s="187">
        <v>0</v>
      </c>
      <c r="X39" s="187">
        <v>0</v>
      </c>
      <c r="Y39" s="187">
        <v>0</v>
      </c>
      <c r="Z39" s="187">
        <v>1</v>
      </c>
      <c r="AA39" s="187">
        <v>0</v>
      </c>
      <c r="AB39" s="187">
        <v>0</v>
      </c>
      <c r="AC39" s="187">
        <v>0</v>
      </c>
      <c r="AD39" s="187">
        <v>0</v>
      </c>
      <c r="AE39" s="515">
        <v>0</v>
      </c>
      <c r="AF39" s="1383">
        <f t="shared" si="16"/>
        <v>8.3333333333333329E-2</v>
      </c>
      <c r="AG39" s="1366">
        <f>AF39/SUM($AF$35:$AF$42)</f>
        <v>3.3156498673740051E-4</v>
      </c>
      <c r="AH39" s="1064">
        <v>0</v>
      </c>
      <c r="AI39" s="1065">
        <v>0</v>
      </c>
      <c r="AJ39" s="1064">
        <v>0</v>
      </c>
      <c r="AK39" s="1064">
        <v>2</v>
      </c>
      <c r="AL39" s="1064">
        <v>0</v>
      </c>
      <c r="AM39" s="1064">
        <v>0</v>
      </c>
      <c r="AN39" s="1064">
        <v>0</v>
      </c>
      <c r="AO39" s="1064">
        <v>0</v>
      </c>
      <c r="AP39" s="1064">
        <v>0</v>
      </c>
      <c r="AQ39" s="1064">
        <v>0</v>
      </c>
      <c r="AR39" s="1065">
        <v>0</v>
      </c>
      <c r="AS39" s="1063">
        <v>0</v>
      </c>
      <c r="AT39" s="1351">
        <f t="shared" si="17"/>
        <v>0.16666666666666666</v>
      </c>
      <c r="AU39" s="1514">
        <f t="shared" si="14"/>
        <v>9.7991180793728563E-4</v>
      </c>
      <c r="AV39" s="2962">
        <v>1</v>
      </c>
      <c r="AW39" s="1065">
        <v>0</v>
      </c>
      <c r="AX39" s="1064">
        <v>2</v>
      </c>
      <c r="AY39" s="1064">
        <v>1</v>
      </c>
      <c r="AZ39" s="1064">
        <v>0</v>
      </c>
      <c r="BA39" s="1064">
        <v>0</v>
      </c>
      <c r="BB39" s="1064">
        <v>0</v>
      </c>
      <c r="BC39" s="1064">
        <v>0</v>
      </c>
      <c r="BD39" s="1064">
        <v>0</v>
      </c>
      <c r="BE39" s="1064">
        <v>0</v>
      </c>
      <c r="BF39" s="1065">
        <v>0</v>
      </c>
      <c r="BG39" s="1063">
        <v>0</v>
      </c>
      <c r="BH39" s="1351">
        <v>0</v>
      </c>
      <c r="BI39" s="2065" t="s">
        <v>618</v>
      </c>
    </row>
    <row r="40" spans="1:79">
      <c r="A40" s="912" t="s">
        <v>178</v>
      </c>
      <c r="B40" s="1599" t="s">
        <v>252</v>
      </c>
      <c r="C40" s="1599" t="s">
        <v>252</v>
      </c>
      <c r="D40" s="187">
        <v>0</v>
      </c>
      <c r="E40" s="188">
        <v>0</v>
      </c>
      <c r="F40" s="187">
        <v>0</v>
      </c>
      <c r="G40" s="187">
        <v>0</v>
      </c>
      <c r="H40" s="187">
        <v>0</v>
      </c>
      <c r="I40" s="187">
        <v>0</v>
      </c>
      <c r="J40" s="187">
        <v>0</v>
      </c>
      <c r="K40" s="187">
        <v>0</v>
      </c>
      <c r="L40" s="187">
        <v>0</v>
      </c>
      <c r="M40" s="187">
        <v>0</v>
      </c>
      <c r="N40" s="187">
        <v>0</v>
      </c>
      <c r="O40" s="515">
        <v>0</v>
      </c>
      <c r="P40" s="1383">
        <f t="shared" si="15"/>
        <v>0</v>
      </c>
      <c r="Q40" s="1366">
        <f>P40/SUM($P$35:$P$42)</f>
        <v>0</v>
      </c>
      <c r="R40" s="1351" t="s">
        <v>616</v>
      </c>
      <c r="S40" s="1366" t="s">
        <v>24</v>
      </c>
      <c r="T40" s="187">
        <v>0</v>
      </c>
      <c r="U40" s="188">
        <v>0</v>
      </c>
      <c r="V40" s="187">
        <v>0</v>
      </c>
      <c r="W40" s="187">
        <v>0</v>
      </c>
      <c r="X40" s="187">
        <v>0</v>
      </c>
      <c r="Y40" s="187">
        <v>0</v>
      </c>
      <c r="Z40" s="187">
        <v>0</v>
      </c>
      <c r="AA40" s="187">
        <v>0</v>
      </c>
      <c r="AB40" s="187">
        <v>0</v>
      </c>
      <c r="AC40" s="187">
        <v>0</v>
      </c>
      <c r="AD40" s="187">
        <v>0</v>
      </c>
      <c r="AE40" s="515">
        <v>0</v>
      </c>
      <c r="AF40" s="1383">
        <f t="shared" si="16"/>
        <v>0</v>
      </c>
      <c r="AG40" s="1366">
        <f>AF40/SUM($AF$35:$AF$42)</f>
        <v>0</v>
      </c>
      <c r="AH40" s="1064">
        <v>0</v>
      </c>
      <c r="AI40" s="1065">
        <v>0</v>
      </c>
      <c r="AJ40" s="1064">
        <v>0</v>
      </c>
      <c r="AK40" s="1064">
        <v>0</v>
      </c>
      <c r="AL40" s="1064">
        <v>0</v>
      </c>
      <c r="AM40" s="1064">
        <v>0</v>
      </c>
      <c r="AN40" s="1064">
        <v>0</v>
      </c>
      <c r="AO40" s="1064">
        <v>0</v>
      </c>
      <c r="AP40" s="1064">
        <v>0</v>
      </c>
      <c r="AQ40" s="1064">
        <v>0</v>
      </c>
      <c r="AR40" s="1065">
        <v>0</v>
      </c>
      <c r="AS40" s="1063">
        <v>0</v>
      </c>
      <c r="AT40" s="1351">
        <f t="shared" si="17"/>
        <v>0</v>
      </c>
      <c r="AU40" s="1514">
        <f t="shared" si="14"/>
        <v>0</v>
      </c>
      <c r="AV40" s="2962">
        <v>1</v>
      </c>
      <c r="AW40" s="1065">
        <v>0</v>
      </c>
      <c r="AX40" s="1064">
        <v>0</v>
      </c>
      <c r="AY40" s="1064">
        <v>0</v>
      </c>
      <c r="AZ40" s="1064">
        <v>0</v>
      </c>
      <c r="BA40" s="1064">
        <v>2</v>
      </c>
      <c r="BB40" s="1064">
        <v>1</v>
      </c>
      <c r="BC40" s="1064">
        <v>1</v>
      </c>
      <c r="BD40" s="1064">
        <v>0</v>
      </c>
      <c r="BE40" s="1064">
        <v>1</v>
      </c>
      <c r="BF40" s="1065">
        <v>1</v>
      </c>
      <c r="BG40" s="1063">
        <v>1</v>
      </c>
      <c r="BH40" s="1351">
        <v>1</v>
      </c>
      <c r="BI40" s="2065">
        <v>5.0000000000000001E-3</v>
      </c>
    </row>
    <row r="41" spans="1:79">
      <c r="A41" s="1010" t="s">
        <v>608</v>
      </c>
      <c r="B41" s="1604" t="s">
        <v>24</v>
      </c>
      <c r="C41" s="1604" t="s">
        <v>24</v>
      </c>
      <c r="D41" s="1011"/>
      <c r="E41" s="192"/>
      <c r="F41" s="192"/>
      <c r="G41" s="520"/>
      <c r="H41" s="191"/>
      <c r="I41" s="1385"/>
      <c r="J41" s="192"/>
      <c r="K41" s="1385"/>
      <c r="L41" s="192"/>
      <c r="M41" s="1385"/>
      <c r="N41" s="192"/>
      <c r="O41" s="1386"/>
      <c r="P41" s="1383" t="s">
        <v>24</v>
      </c>
      <c r="Q41" s="1366" t="s">
        <v>24</v>
      </c>
      <c r="R41" s="1351" t="s">
        <v>24</v>
      </c>
      <c r="S41" s="1366" t="s">
        <v>24</v>
      </c>
      <c r="T41" s="1011" t="s">
        <v>24</v>
      </c>
      <c r="U41" s="192" t="s">
        <v>24</v>
      </c>
      <c r="V41" s="192" t="s">
        <v>24</v>
      </c>
      <c r="W41" s="520" t="s">
        <v>24</v>
      </c>
      <c r="X41" s="191" t="s">
        <v>24</v>
      </c>
      <c r="Y41" s="1385" t="s">
        <v>24</v>
      </c>
      <c r="Z41" s="192" t="s">
        <v>24</v>
      </c>
      <c r="AA41" s="1385" t="s">
        <v>24</v>
      </c>
      <c r="AB41" s="192" t="s">
        <v>24</v>
      </c>
      <c r="AC41" s="1385" t="s">
        <v>24</v>
      </c>
      <c r="AD41" s="192" t="s">
        <v>24</v>
      </c>
      <c r="AE41" s="1386" t="s">
        <v>24</v>
      </c>
      <c r="AF41" s="1383" t="s">
        <v>24</v>
      </c>
      <c r="AG41" s="1366" t="s">
        <v>24</v>
      </c>
      <c r="AH41" s="1068"/>
      <c r="AI41" s="1067">
        <v>9</v>
      </c>
      <c r="AJ41" s="1067">
        <v>7</v>
      </c>
      <c r="AK41" s="1067">
        <v>15</v>
      </c>
      <c r="AL41" s="1067">
        <v>9</v>
      </c>
      <c r="AM41" s="1067">
        <v>4</v>
      </c>
      <c r="AN41" s="1067">
        <v>2</v>
      </c>
      <c r="AO41" s="1067">
        <v>1</v>
      </c>
      <c r="AP41" s="1067">
        <v>1</v>
      </c>
      <c r="AQ41" s="1067">
        <v>1</v>
      </c>
      <c r="AR41" s="1407">
        <v>5</v>
      </c>
      <c r="AS41" s="1401">
        <v>8</v>
      </c>
      <c r="AT41" s="1351">
        <v>0</v>
      </c>
      <c r="AU41" s="1514">
        <f t="shared" si="14"/>
        <v>0</v>
      </c>
      <c r="AV41" s="2963">
        <v>3</v>
      </c>
      <c r="AW41" s="1067">
        <v>2</v>
      </c>
      <c r="AX41" s="1067">
        <v>5</v>
      </c>
      <c r="AY41" s="1067">
        <v>2</v>
      </c>
      <c r="AZ41" s="1067">
        <v>3</v>
      </c>
      <c r="BA41" s="1067">
        <v>5</v>
      </c>
      <c r="BB41" s="1067">
        <v>3</v>
      </c>
      <c r="BC41" s="1067">
        <v>5</v>
      </c>
      <c r="BD41" s="1067">
        <v>3</v>
      </c>
      <c r="BE41" s="1067">
        <v>0</v>
      </c>
      <c r="BF41" s="1407">
        <v>3</v>
      </c>
      <c r="BG41" s="1401">
        <v>2</v>
      </c>
      <c r="BH41" s="1351">
        <v>3</v>
      </c>
      <c r="BI41" s="2065">
        <v>1.4E-2</v>
      </c>
    </row>
    <row r="42" spans="1:79">
      <c r="A42" s="911" t="s">
        <v>182</v>
      </c>
      <c r="B42" s="1597" t="s">
        <v>252</v>
      </c>
      <c r="C42" s="1597" t="s">
        <v>252</v>
      </c>
      <c r="D42" s="1488">
        <v>0</v>
      </c>
      <c r="E42" s="1025">
        <v>0</v>
      </c>
      <c r="F42" s="1033">
        <v>0</v>
      </c>
      <c r="G42" s="1033">
        <v>0</v>
      </c>
      <c r="H42" s="1033">
        <v>0</v>
      </c>
      <c r="I42" s="1033">
        <v>0</v>
      </c>
      <c r="J42" s="1033">
        <v>0</v>
      </c>
      <c r="K42" s="1033">
        <v>0</v>
      </c>
      <c r="L42" s="1033">
        <v>0</v>
      </c>
      <c r="M42" s="1033">
        <v>0</v>
      </c>
      <c r="N42" s="1033">
        <v>0</v>
      </c>
      <c r="O42" s="1024">
        <v>0</v>
      </c>
      <c r="P42" s="1384">
        <f t="shared" si="15"/>
        <v>0</v>
      </c>
      <c r="Q42" s="1366">
        <f>P42/SUM($P$35:$P$42)</f>
        <v>0</v>
      </c>
      <c r="R42" s="1350" t="s">
        <v>616</v>
      </c>
      <c r="S42" s="1368" t="s">
        <v>24</v>
      </c>
      <c r="T42" s="1028">
        <v>0</v>
      </c>
      <c r="U42" s="1027">
        <v>0</v>
      </c>
      <c r="V42" s="1033">
        <v>0</v>
      </c>
      <c r="W42" s="1033">
        <v>2</v>
      </c>
      <c r="X42" s="1033">
        <v>0</v>
      </c>
      <c r="Y42" s="1033">
        <v>0</v>
      </c>
      <c r="Z42" s="1033">
        <v>1</v>
      </c>
      <c r="AA42" s="1033">
        <v>1</v>
      </c>
      <c r="AB42" s="1033">
        <v>0</v>
      </c>
      <c r="AC42" s="1033">
        <v>5</v>
      </c>
      <c r="AD42" s="1033">
        <v>0</v>
      </c>
      <c r="AE42" s="1024">
        <v>0</v>
      </c>
      <c r="AF42" s="1384">
        <f t="shared" si="16"/>
        <v>0.75</v>
      </c>
      <c r="AG42" s="1366">
        <f>AF42/SUM($AF$35:$AF$42)</f>
        <v>2.9840848806366046E-3</v>
      </c>
      <c r="AH42" s="1070">
        <v>0</v>
      </c>
      <c r="AI42" s="1069">
        <v>0</v>
      </c>
      <c r="AJ42" s="1069">
        <v>0</v>
      </c>
      <c r="AK42" s="1069">
        <v>0</v>
      </c>
      <c r="AL42" s="1069">
        <v>0</v>
      </c>
      <c r="AM42" s="1069">
        <v>0</v>
      </c>
      <c r="AN42" s="1069">
        <v>0</v>
      </c>
      <c r="AO42" s="1069">
        <v>0</v>
      </c>
      <c r="AP42" s="1069">
        <v>0</v>
      </c>
      <c r="AQ42" s="1069">
        <v>0</v>
      </c>
      <c r="AR42" s="1408">
        <v>0</v>
      </c>
      <c r="AS42" s="1402">
        <v>0</v>
      </c>
      <c r="AT42" s="1350">
        <f t="shared" si="17"/>
        <v>0</v>
      </c>
      <c r="AU42" s="2066">
        <f t="shared" si="14"/>
        <v>0</v>
      </c>
      <c r="AV42" s="2964">
        <v>17</v>
      </c>
      <c r="AW42" s="2965">
        <v>27</v>
      </c>
      <c r="AX42" s="2965">
        <v>21</v>
      </c>
      <c r="AY42" s="2965">
        <v>30</v>
      </c>
      <c r="AZ42" s="2965">
        <v>38</v>
      </c>
      <c r="BA42" s="2965">
        <v>19</v>
      </c>
      <c r="BB42" s="2965">
        <v>44</v>
      </c>
      <c r="BC42" s="2965">
        <v>28</v>
      </c>
      <c r="BD42" s="2965">
        <v>24</v>
      </c>
      <c r="BE42" s="2965">
        <v>30</v>
      </c>
      <c r="BF42" s="2966">
        <v>18</v>
      </c>
      <c r="BG42" s="2967">
        <v>22</v>
      </c>
      <c r="BH42" s="1362">
        <v>27</v>
      </c>
      <c r="BI42" s="1372">
        <v>0.129</v>
      </c>
    </row>
    <row r="43" spans="1:79">
      <c r="A43" s="194"/>
      <c r="B43" s="1445"/>
      <c r="C43" s="1445"/>
      <c r="D43" s="195"/>
      <c r="E43" s="195"/>
      <c r="F43" s="195"/>
      <c r="G43" s="195"/>
      <c r="H43" s="195"/>
      <c r="I43" s="195"/>
      <c r="J43" s="195"/>
      <c r="K43" s="195"/>
      <c r="L43" s="195"/>
      <c r="M43" s="195"/>
      <c r="N43" s="195"/>
      <c r="O43" s="195"/>
      <c r="P43" s="1363"/>
      <c r="Q43" s="1377"/>
      <c r="R43" s="195"/>
      <c r="S43" s="1363"/>
      <c r="T43" s="195"/>
      <c r="U43" s="195"/>
      <c r="V43" s="195"/>
      <c r="W43" s="195"/>
      <c r="X43" s="195"/>
      <c r="Y43" s="195"/>
      <c r="Z43" s="195"/>
      <c r="AA43" s="195"/>
      <c r="AB43" s="195"/>
      <c r="AC43" s="195"/>
      <c r="AD43" s="195"/>
      <c r="AE43" s="195"/>
      <c r="AF43" s="1363"/>
      <c r="AG43" s="1377"/>
      <c r="AH43" s="195"/>
      <c r="AI43" s="195"/>
      <c r="AJ43" s="195"/>
      <c r="AK43" s="195"/>
      <c r="AL43" s="195"/>
      <c r="AM43" s="195"/>
      <c r="AN43" s="195"/>
      <c r="AO43" s="195"/>
      <c r="AP43" s="195"/>
      <c r="AQ43" s="195"/>
      <c r="AR43" s="195"/>
      <c r="AS43" s="195"/>
      <c r="AT43" s="195"/>
      <c r="AU43" s="1363"/>
      <c r="AV43" s="195"/>
      <c r="AW43" s="195"/>
      <c r="AX43" s="195"/>
      <c r="AY43" s="195"/>
      <c r="AZ43" s="195"/>
      <c r="BA43" s="195"/>
      <c r="BB43" s="195"/>
      <c r="BC43" s="195"/>
      <c r="BD43" s="195"/>
      <c r="BE43" s="195"/>
      <c r="BF43" s="195"/>
      <c r="BG43" s="195"/>
      <c r="BH43" s="195"/>
      <c r="BI43" s="195"/>
    </row>
    <row r="44" spans="1:79" ht="13.15">
      <c r="A44" s="909" t="s">
        <v>615</v>
      </c>
      <c r="B44" s="1446" t="s">
        <v>607</v>
      </c>
      <c r="C44" s="1447" t="s">
        <v>607</v>
      </c>
      <c r="D44" s="905">
        <v>43951</v>
      </c>
      <c r="E44" s="904">
        <v>43982</v>
      </c>
      <c r="F44" s="905">
        <v>44012</v>
      </c>
      <c r="G44" s="904">
        <v>44043</v>
      </c>
      <c r="H44" s="906">
        <v>44074</v>
      </c>
      <c r="I44" s="904">
        <v>44104</v>
      </c>
      <c r="J44" s="905">
        <v>44135</v>
      </c>
      <c r="K44" s="904">
        <v>44165</v>
      </c>
      <c r="L44" s="905">
        <v>44196</v>
      </c>
      <c r="M44" s="904">
        <v>44227</v>
      </c>
      <c r="N44" s="905">
        <v>44255</v>
      </c>
      <c r="O44" s="1019">
        <v>44286</v>
      </c>
      <c r="P44" s="1382" t="s">
        <v>607</v>
      </c>
      <c r="Q44" s="1391" t="s">
        <v>296</v>
      </c>
      <c r="R44" s="1342" t="s">
        <v>607</v>
      </c>
      <c r="S44" s="1365" t="s">
        <v>296</v>
      </c>
      <c r="T44" s="905">
        <v>44681</v>
      </c>
      <c r="U44" s="904">
        <v>44712</v>
      </c>
      <c r="V44" s="905">
        <v>44742</v>
      </c>
      <c r="W44" s="904">
        <v>44773</v>
      </c>
      <c r="X44" s="906">
        <v>44804</v>
      </c>
      <c r="Y44" s="904">
        <v>44834</v>
      </c>
      <c r="Z44" s="905">
        <v>44865</v>
      </c>
      <c r="AA44" s="904">
        <v>44895</v>
      </c>
      <c r="AB44" s="905">
        <v>44926</v>
      </c>
      <c r="AC44" s="904">
        <v>44957</v>
      </c>
      <c r="AD44" s="905">
        <v>44985</v>
      </c>
      <c r="AE44" s="1019">
        <v>45016</v>
      </c>
      <c r="AF44" s="1382" t="s">
        <v>607</v>
      </c>
      <c r="AG44" s="1391" t="s">
        <v>296</v>
      </c>
      <c r="AH44" s="1029">
        <v>45030</v>
      </c>
      <c r="AI44" s="1030">
        <v>45062</v>
      </c>
      <c r="AJ44" s="1029">
        <v>45094</v>
      </c>
      <c r="AK44" s="1030">
        <v>45126</v>
      </c>
      <c r="AL44" s="1029">
        <v>45158</v>
      </c>
      <c r="AM44" s="1030">
        <v>45190</v>
      </c>
      <c r="AN44" s="1029">
        <v>45222</v>
      </c>
      <c r="AO44" s="1030">
        <v>45254</v>
      </c>
      <c r="AP44" s="1029">
        <v>45286</v>
      </c>
      <c r="AQ44" s="1030">
        <v>45318</v>
      </c>
      <c r="AR44" s="1029">
        <v>45350</v>
      </c>
      <c r="AS44" s="1030">
        <v>45382</v>
      </c>
      <c r="AT44" s="1342" t="s">
        <v>607</v>
      </c>
      <c r="AU44" s="2070" t="s">
        <v>296</v>
      </c>
      <c r="AV44" s="2061">
        <v>45396</v>
      </c>
      <c r="AW44" s="908">
        <v>45428</v>
      </c>
      <c r="AX44" s="907">
        <v>45460</v>
      </c>
      <c r="AY44" s="907">
        <v>45492</v>
      </c>
      <c r="AZ44" s="908">
        <v>45524</v>
      </c>
      <c r="BA44" s="907">
        <v>45556</v>
      </c>
      <c r="BB44" s="907">
        <v>45588</v>
      </c>
      <c r="BC44" s="908">
        <v>45620</v>
      </c>
      <c r="BD44" s="907">
        <v>45652</v>
      </c>
      <c r="BE44" s="907">
        <v>45684</v>
      </c>
      <c r="BF44" s="908">
        <v>45716</v>
      </c>
      <c r="BG44" s="1434">
        <v>45717</v>
      </c>
      <c r="BH44" s="2064" t="s">
        <v>607</v>
      </c>
      <c r="BI44" s="2040" t="s">
        <v>296</v>
      </c>
    </row>
    <row r="45" spans="1:79">
      <c r="A45" s="910" t="s">
        <v>609</v>
      </c>
      <c r="B45" s="1605" t="s">
        <v>252</v>
      </c>
      <c r="C45" s="1598" t="s">
        <v>252</v>
      </c>
      <c r="D45" s="521">
        <v>1</v>
      </c>
      <c r="E45" s="513">
        <v>0</v>
      </c>
      <c r="F45" s="521">
        <v>0</v>
      </c>
      <c r="G45" s="521">
        <v>0</v>
      </c>
      <c r="H45" s="521">
        <v>1</v>
      </c>
      <c r="I45" s="521">
        <v>1</v>
      </c>
      <c r="J45" s="521">
        <v>1</v>
      </c>
      <c r="K45" s="521">
        <v>1</v>
      </c>
      <c r="L45" s="521">
        <v>2</v>
      </c>
      <c r="M45" s="521">
        <v>4</v>
      </c>
      <c r="N45" s="521">
        <v>3</v>
      </c>
      <c r="O45" s="514">
        <v>3</v>
      </c>
      <c r="P45" s="1383">
        <f>AVERAGE(D45:O45)</f>
        <v>1.4166666666666667</v>
      </c>
      <c r="Q45" s="1366">
        <f>P45/SUM($P$45:$P$50)</f>
        <v>0.22368421052631579</v>
      </c>
      <c r="R45" s="1345" t="s">
        <v>616</v>
      </c>
      <c r="S45" s="1366" t="s">
        <v>24</v>
      </c>
      <c r="T45" s="521">
        <v>57</v>
      </c>
      <c r="U45" s="513">
        <v>115</v>
      </c>
      <c r="V45" s="521">
        <v>108</v>
      </c>
      <c r="W45" s="521">
        <v>126</v>
      </c>
      <c r="X45" s="521">
        <v>71</v>
      </c>
      <c r="Y45" s="521">
        <v>32</v>
      </c>
      <c r="Z45" s="521">
        <v>45</v>
      </c>
      <c r="AA45" s="521">
        <v>37</v>
      </c>
      <c r="AB45" s="521">
        <v>30</v>
      </c>
      <c r="AC45" s="521">
        <v>38</v>
      </c>
      <c r="AD45" s="521">
        <v>36</v>
      </c>
      <c r="AE45" s="514">
        <v>44</v>
      </c>
      <c r="AF45" s="1383">
        <f>AVERAGE(T45:AE45)</f>
        <v>61.583333333333336</v>
      </c>
      <c r="AG45" s="1366">
        <f>AF45/SUM($AF$45:$AF$50)</f>
        <v>0.245026525198939</v>
      </c>
      <c r="AH45" s="1414">
        <v>57</v>
      </c>
      <c r="AI45" s="1409">
        <v>88</v>
      </c>
      <c r="AJ45" s="1056">
        <v>49</v>
      </c>
      <c r="AK45" s="1056">
        <v>100</v>
      </c>
      <c r="AL45" s="1056">
        <v>63</v>
      </c>
      <c r="AM45" s="1056">
        <v>39</v>
      </c>
      <c r="AN45" s="1056">
        <v>87</v>
      </c>
      <c r="AO45" s="1056">
        <v>69</v>
      </c>
      <c r="AP45" s="1056">
        <v>9</v>
      </c>
      <c r="AQ45" s="1056">
        <v>68</v>
      </c>
      <c r="AR45" s="1057">
        <v>57</v>
      </c>
      <c r="AS45" s="1055">
        <v>88</v>
      </c>
      <c r="AT45" s="1345">
        <f>AVERAGE(AH45:AS45)</f>
        <v>64.5</v>
      </c>
      <c r="AU45" s="1514">
        <f>AT45/SUM($AT$45:$AT$50)</f>
        <v>0.36595744680851061</v>
      </c>
      <c r="AV45" s="2956">
        <v>81</v>
      </c>
      <c r="AW45" s="1409">
        <v>72</v>
      </c>
      <c r="AX45" s="1056">
        <v>61</v>
      </c>
      <c r="AY45" s="1056">
        <v>95</v>
      </c>
      <c r="AZ45" s="1056">
        <v>64</v>
      </c>
      <c r="BA45" s="1056">
        <v>83</v>
      </c>
      <c r="BB45" s="1056">
        <v>57</v>
      </c>
      <c r="BC45" s="1056">
        <v>72</v>
      </c>
      <c r="BD45" s="1056">
        <v>26</v>
      </c>
      <c r="BE45" s="1056">
        <v>34</v>
      </c>
      <c r="BF45" s="1057">
        <v>33</v>
      </c>
      <c r="BG45" s="1055">
        <v>70</v>
      </c>
      <c r="BH45" s="1345">
        <v>62</v>
      </c>
      <c r="BI45" s="2065">
        <v>0.29699999999999999</v>
      </c>
    </row>
    <row r="46" spans="1:79">
      <c r="A46" s="912" t="s">
        <v>610</v>
      </c>
      <c r="B46" s="1606" t="s">
        <v>252</v>
      </c>
      <c r="C46" s="1599" t="s">
        <v>252</v>
      </c>
      <c r="D46" s="187">
        <v>1</v>
      </c>
      <c r="E46" s="188">
        <v>1</v>
      </c>
      <c r="F46" s="187">
        <v>2</v>
      </c>
      <c r="G46" s="187">
        <v>1</v>
      </c>
      <c r="H46" s="187">
        <v>1</v>
      </c>
      <c r="I46" s="187">
        <v>1</v>
      </c>
      <c r="J46" s="187">
        <v>0</v>
      </c>
      <c r="K46" s="187">
        <v>5</v>
      </c>
      <c r="L46" s="187">
        <v>2</v>
      </c>
      <c r="M46" s="187">
        <v>0</v>
      </c>
      <c r="N46" s="187">
        <v>1</v>
      </c>
      <c r="O46" s="515">
        <v>2</v>
      </c>
      <c r="P46" s="1383">
        <f t="shared" ref="P46:P50" si="18">AVERAGE(D46:O46)</f>
        <v>1.4166666666666667</v>
      </c>
      <c r="Q46" s="1366">
        <f t="shared" ref="Q46:Q50" si="19">P46/SUM($P$45:$P$50)</f>
        <v>0.22368421052631579</v>
      </c>
      <c r="R46" s="1345" t="s">
        <v>616</v>
      </c>
      <c r="S46" s="1366" t="s">
        <v>24</v>
      </c>
      <c r="T46" s="187">
        <v>82</v>
      </c>
      <c r="U46" s="188">
        <v>117</v>
      </c>
      <c r="V46" s="187">
        <v>85</v>
      </c>
      <c r="W46" s="187">
        <v>65</v>
      </c>
      <c r="X46" s="187">
        <v>56</v>
      </c>
      <c r="Y46" s="187">
        <v>37</v>
      </c>
      <c r="Z46" s="187">
        <v>62</v>
      </c>
      <c r="AA46" s="187">
        <v>56</v>
      </c>
      <c r="AB46" s="187">
        <v>21</v>
      </c>
      <c r="AC46" s="187">
        <v>61</v>
      </c>
      <c r="AD46" s="187">
        <v>49</v>
      </c>
      <c r="AE46" s="515">
        <v>48</v>
      </c>
      <c r="AF46" s="1383">
        <f t="shared" ref="AF46:AF50" si="20">AVERAGE(T46:AE46)</f>
        <v>61.583333333333336</v>
      </c>
      <c r="AG46" s="1366">
        <f t="shared" ref="AG46:AG50" si="21">AF46/SUM($AF$45:$AF$50)</f>
        <v>0.245026525198939</v>
      </c>
      <c r="AH46" s="1417">
        <v>44</v>
      </c>
      <c r="AI46" s="1412">
        <v>55</v>
      </c>
      <c r="AJ46" s="1064">
        <v>35</v>
      </c>
      <c r="AK46" s="1064">
        <v>55</v>
      </c>
      <c r="AL46" s="1064">
        <v>32</v>
      </c>
      <c r="AM46" s="1064">
        <v>31</v>
      </c>
      <c r="AN46" s="1064">
        <v>38</v>
      </c>
      <c r="AO46" s="1064">
        <v>48</v>
      </c>
      <c r="AP46" s="1064">
        <v>12</v>
      </c>
      <c r="AQ46" s="1064">
        <v>44</v>
      </c>
      <c r="AR46" s="1065">
        <v>36</v>
      </c>
      <c r="AS46" s="1063">
        <v>43</v>
      </c>
      <c r="AT46" s="1345">
        <f t="shared" ref="AT46:AT50" si="22">AVERAGE(AH46:AS46)</f>
        <v>39.416666666666664</v>
      </c>
      <c r="AU46" s="1514">
        <f t="shared" ref="AU46:AU50" si="23">AT46/SUM($AT$45:$AT$50)</f>
        <v>0.22364066193853427</v>
      </c>
      <c r="AV46" s="2960">
        <v>67</v>
      </c>
      <c r="AW46" s="1412">
        <v>65</v>
      </c>
      <c r="AX46" s="1064">
        <v>59</v>
      </c>
      <c r="AY46" s="1064">
        <v>65</v>
      </c>
      <c r="AZ46" s="1064">
        <v>53</v>
      </c>
      <c r="BA46" s="1064">
        <v>68</v>
      </c>
      <c r="BB46" s="1064">
        <v>58</v>
      </c>
      <c r="BC46" s="1064">
        <v>53</v>
      </c>
      <c r="BD46" s="1064">
        <v>14</v>
      </c>
      <c r="BE46" s="1064">
        <v>45</v>
      </c>
      <c r="BF46" s="1065">
        <v>24</v>
      </c>
      <c r="BG46" s="1063">
        <v>63</v>
      </c>
      <c r="BH46" s="1345">
        <v>53</v>
      </c>
      <c r="BI46" s="2065">
        <v>0.254</v>
      </c>
    </row>
    <row r="47" spans="1:79">
      <c r="A47" s="912" t="s">
        <v>611</v>
      </c>
      <c r="B47" s="1606" t="s">
        <v>252</v>
      </c>
      <c r="C47" s="1599" t="s">
        <v>252</v>
      </c>
      <c r="D47" s="187">
        <v>4</v>
      </c>
      <c r="E47" s="188">
        <v>1</v>
      </c>
      <c r="F47" s="187">
        <v>0</v>
      </c>
      <c r="G47" s="187">
        <v>0</v>
      </c>
      <c r="H47" s="187">
        <v>0</v>
      </c>
      <c r="I47" s="187">
        <v>0</v>
      </c>
      <c r="J47" s="187">
        <v>1</v>
      </c>
      <c r="K47" s="187">
        <v>3</v>
      </c>
      <c r="L47" s="187">
        <v>1</v>
      </c>
      <c r="M47" s="187">
        <v>1</v>
      </c>
      <c r="N47" s="187">
        <v>2</v>
      </c>
      <c r="O47" s="515">
        <v>3</v>
      </c>
      <c r="P47" s="1383">
        <f t="shared" si="18"/>
        <v>1.3333333333333333</v>
      </c>
      <c r="Q47" s="1366">
        <f t="shared" si="19"/>
        <v>0.21052631578947364</v>
      </c>
      <c r="R47" s="1345" t="s">
        <v>616</v>
      </c>
      <c r="S47" s="1366" t="s">
        <v>24</v>
      </c>
      <c r="T47" s="187">
        <v>79</v>
      </c>
      <c r="U47" s="188">
        <v>68</v>
      </c>
      <c r="V47" s="187">
        <v>63</v>
      </c>
      <c r="W47" s="187">
        <v>51</v>
      </c>
      <c r="X47" s="187">
        <v>48</v>
      </c>
      <c r="Y47" s="187">
        <v>38</v>
      </c>
      <c r="Z47" s="187">
        <v>55</v>
      </c>
      <c r="AA47" s="187">
        <v>49</v>
      </c>
      <c r="AB47" s="187">
        <v>22</v>
      </c>
      <c r="AC47" s="187">
        <v>50</v>
      </c>
      <c r="AD47" s="187">
        <v>36</v>
      </c>
      <c r="AE47" s="515">
        <v>38</v>
      </c>
      <c r="AF47" s="1383">
        <f t="shared" si="20"/>
        <v>49.75</v>
      </c>
      <c r="AG47" s="1366">
        <f t="shared" si="21"/>
        <v>0.1979442970822281</v>
      </c>
      <c r="AH47" s="1415">
        <v>52</v>
      </c>
      <c r="AI47" s="1412">
        <v>42</v>
      </c>
      <c r="AJ47" s="1064">
        <v>37</v>
      </c>
      <c r="AK47" s="1064">
        <v>34</v>
      </c>
      <c r="AL47" s="1064">
        <v>13</v>
      </c>
      <c r="AM47" s="1064">
        <v>22</v>
      </c>
      <c r="AN47" s="1064">
        <v>39</v>
      </c>
      <c r="AO47" s="1064">
        <v>22</v>
      </c>
      <c r="AP47" s="1064">
        <v>7</v>
      </c>
      <c r="AQ47" s="1064">
        <v>28</v>
      </c>
      <c r="AR47" s="1065">
        <v>26</v>
      </c>
      <c r="AS47" s="1063">
        <v>30</v>
      </c>
      <c r="AT47" s="1345">
        <f t="shared" si="22"/>
        <v>29.333333333333332</v>
      </c>
      <c r="AU47" s="1514">
        <f t="shared" si="23"/>
        <v>0.16643026004728131</v>
      </c>
      <c r="AV47" s="2957">
        <v>39</v>
      </c>
      <c r="AW47" s="1412">
        <v>43</v>
      </c>
      <c r="AX47" s="1064">
        <v>51</v>
      </c>
      <c r="AY47" s="1064">
        <v>42</v>
      </c>
      <c r="AZ47" s="1064">
        <v>46</v>
      </c>
      <c r="BA47" s="1064">
        <v>55</v>
      </c>
      <c r="BB47" s="1064">
        <v>41</v>
      </c>
      <c r="BC47" s="1064">
        <v>54</v>
      </c>
      <c r="BD47" s="1064">
        <v>23</v>
      </c>
      <c r="BE47" s="1064">
        <v>27</v>
      </c>
      <c r="BF47" s="1065">
        <v>26</v>
      </c>
      <c r="BG47" s="1063">
        <v>44</v>
      </c>
      <c r="BH47" s="1345">
        <v>41</v>
      </c>
      <c r="BI47" s="2065">
        <v>0.19600000000000001</v>
      </c>
    </row>
    <row r="48" spans="1:79">
      <c r="A48" s="912" t="s">
        <v>612</v>
      </c>
      <c r="B48" s="1606" t="s">
        <v>252</v>
      </c>
      <c r="C48" s="1599" t="s">
        <v>252</v>
      </c>
      <c r="D48" s="187">
        <v>2</v>
      </c>
      <c r="E48" s="188">
        <v>0</v>
      </c>
      <c r="F48" s="187">
        <v>0</v>
      </c>
      <c r="G48" s="187">
        <v>2</v>
      </c>
      <c r="H48" s="187">
        <v>0</v>
      </c>
      <c r="I48" s="187">
        <v>1</v>
      </c>
      <c r="J48" s="187">
        <v>0</v>
      </c>
      <c r="K48" s="187">
        <v>0</v>
      </c>
      <c r="L48" s="187">
        <v>0</v>
      </c>
      <c r="M48" s="187">
        <v>7</v>
      </c>
      <c r="N48" s="187">
        <v>2</v>
      </c>
      <c r="O48" s="515">
        <v>3</v>
      </c>
      <c r="P48" s="1383">
        <f t="shared" si="18"/>
        <v>1.4166666666666667</v>
      </c>
      <c r="Q48" s="1366">
        <f t="shared" si="19"/>
        <v>0.22368421052631579</v>
      </c>
      <c r="R48" s="1346" t="s">
        <v>616</v>
      </c>
      <c r="S48" s="1366" t="s">
        <v>24</v>
      </c>
      <c r="T48" s="187">
        <v>59</v>
      </c>
      <c r="U48" s="188">
        <v>62</v>
      </c>
      <c r="V48" s="187">
        <v>55</v>
      </c>
      <c r="W48" s="187">
        <v>52</v>
      </c>
      <c r="X48" s="187">
        <v>43</v>
      </c>
      <c r="Y48" s="187">
        <v>30</v>
      </c>
      <c r="Z48" s="187">
        <v>37</v>
      </c>
      <c r="AA48" s="187">
        <v>35</v>
      </c>
      <c r="AB48" s="187">
        <v>16</v>
      </c>
      <c r="AC48" s="187">
        <v>40</v>
      </c>
      <c r="AD48" s="187">
        <v>27</v>
      </c>
      <c r="AE48" s="515">
        <v>54</v>
      </c>
      <c r="AF48" s="1383">
        <f t="shared" si="20"/>
        <v>42.5</v>
      </c>
      <c r="AG48" s="1366">
        <f t="shared" si="21"/>
        <v>0.16909814323607428</v>
      </c>
      <c r="AH48" s="1415">
        <v>41</v>
      </c>
      <c r="AI48" s="1412">
        <v>39</v>
      </c>
      <c r="AJ48" s="1064">
        <v>26</v>
      </c>
      <c r="AK48" s="1064">
        <v>25</v>
      </c>
      <c r="AL48" s="1064">
        <v>16</v>
      </c>
      <c r="AM48" s="1064">
        <v>13</v>
      </c>
      <c r="AN48" s="1064">
        <v>27</v>
      </c>
      <c r="AO48" s="1064">
        <v>20</v>
      </c>
      <c r="AP48" s="1064">
        <v>9</v>
      </c>
      <c r="AQ48" s="1064">
        <v>33</v>
      </c>
      <c r="AR48" s="1065">
        <v>34</v>
      </c>
      <c r="AS48" s="1063">
        <v>28</v>
      </c>
      <c r="AT48" s="1346">
        <f t="shared" si="22"/>
        <v>25.916666666666668</v>
      </c>
      <c r="AU48" s="1514">
        <f t="shared" si="23"/>
        <v>0.14704491725768323</v>
      </c>
      <c r="AV48" s="2957">
        <v>43</v>
      </c>
      <c r="AW48" s="1412">
        <v>31</v>
      </c>
      <c r="AX48" s="1064">
        <v>29</v>
      </c>
      <c r="AY48" s="1064">
        <v>49</v>
      </c>
      <c r="AZ48" s="1064">
        <v>33</v>
      </c>
      <c r="BA48" s="1064">
        <v>27</v>
      </c>
      <c r="BB48" s="1064">
        <v>32</v>
      </c>
      <c r="BC48" s="1064">
        <v>33</v>
      </c>
      <c r="BD48" s="1064">
        <v>9</v>
      </c>
      <c r="BE48" s="1064">
        <v>37</v>
      </c>
      <c r="BF48" s="1065">
        <v>17</v>
      </c>
      <c r="BG48" s="1063">
        <v>38</v>
      </c>
      <c r="BH48" s="1346">
        <v>32</v>
      </c>
      <c r="BI48" s="2065">
        <v>0.153</v>
      </c>
    </row>
    <row r="49" spans="1:61">
      <c r="A49" s="912" t="s">
        <v>613</v>
      </c>
      <c r="B49" s="1606" t="s">
        <v>252</v>
      </c>
      <c r="C49" s="1599" t="s">
        <v>252</v>
      </c>
      <c r="D49" s="187">
        <v>0</v>
      </c>
      <c r="E49" s="188">
        <v>0</v>
      </c>
      <c r="F49" s="187">
        <v>0</v>
      </c>
      <c r="G49" s="187">
        <v>0</v>
      </c>
      <c r="H49" s="187">
        <v>0</v>
      </c>
      <c r="I49" s="187">
        <v>2</v>
      </c>
      <c r="J49" s="187">
        <v>0</v>
      </c>
      <c r="K49" s="187">
        <v>1</v>
      </c>
      <c r="L49" s="187">
        <v>0</v>
      </c>
      <c r="M49" s="187">
        <v>0</v>
      </c>
      <c r="N49" s="187">
        <v>1</v>
      </c>
      <c r="O49" s="515">
        <v>2</v>
      </c>
      <c r="P49" s="1383">
        <f t="shared" si="18"/>
        <v>0.5</v>
      </c>
      <c r="Q49" s="1366">
        <f t="shared" si="19"/>
        <v>7.8947368421052627E-2</v>
      </c>
      <c r="R49" s="1345" t="s">
        <v>616</v>
      </c>
      <c r="S49" s="1366" t="s">
        <v>24</v>
      </c>
      <c r="T49" s="187">
        <v>59</v>
      </c>
      <c r="U49" s="188">
        <v>53</v>
      </c>
      <c r="V49" s="187">
        <v>47</v>
      </c>
      <c r="W49" s="187">
        <v>31</v>
      </c>
      <c r="X49" s="187">
        <v>32</v>
      </c>
      <c r="Y49" s="187">
        <v>13</v>
      </c>
      <c r="Z49" s="187">
        <v>25</v>
      </c>
      <c r="AA49" s="187">
        <v>23</v>
      </c>
      <c r="AB49" s="187">
        <v>8</v>
      </c>
      <c r="AC49" s="187">
        <v>33</v>
      </c>
      <c r="AD49" s="187">
        <v>26</v>
      </c>
      <c r="AE49" s="515">
        <v>33</v>
      </c>
      <c r="AF49" s="1383">
        <f t="shared" si="20"/>
        <v>31.916666666666668</v>
      </c>
      <c r="AG49" s="1366">
        <f t="shared" si="21"/>
        <v>0.12698938992042441</v>
      </c>
      <c r="AH49" s="1415">
        <v>29</v>
      </c>
      <c r="AI49" s="1412">
        <v>24</v>
      </c>
      <c r="AJ49" s="1064">
        <v>12</v>
      </c>
      <c r="AK49" s="1064">
        <v>23</v>
      </c>
      <c r="AL49" s="1064">
        <v>9</v>
      </c>
      <c r="AM49" s="1064">
        <v>7</v>
      </c>
      <c r="AN49" s="1064">
        <v>12</v>
      </c>
      <c r="AO49" s="1064">
        <v>14</v>
      </c>
      <c r="AP49" s="1064">
        <v>6</v>
      </c>
      <c r="AQ49" s="1064">
        <v>7</v>
      </c>
      <c r="AR49" s="1065">
        <v>17</v>
      </c>
      <c r="AS49" s="1063">
        <v>21</v>
      </c>
      <c r="AT49" s="1345">
        <f t="shared" si="22"/>
        <v>15.083333333333334</v>
      </c>
      <c r="AU49" s="1514">
        <f t="shared" si="23"/>
        <v>8.5579196217494088E-2</v>
      </c>
      <c r="AV49" s="2957">
        <v>36</v>
      </c>
      <c r="AW49" s="1412">
        <v>28</v>
      </c>
      <c r="AX49" s="1064">
        <v>14</v>
      </c>
      <c r="AY49" s="1064">
        <v>18</v>
      </c>
      <c r="AZ49" s="1064">
        <v>20</v>
      </c>
      <c r="BA49" s="1064">
        <v>25</v>
      </c>
      <c r="BB49" s="1064">
        <v>18</v>
      </c>
      <c r="BC49" s="1064">
        <v>5</v>
      </c>
      <c r="BD49" s="1064">
        <v>9</v>
      </c>
      <c r="BE49" s="1064">
        <v>16</v>
      </c>
      <c r="BF49" s="1065">
        <v>17</v>
      </c>
      <c r="BG49" s="1063">
        <v>23</v>
      </c>
      <c r="BH49" s="1345">
        <v>19</v>
      </c>
      <c r="BI49" s="2065">
        <v>9.0999999999999998E-2</v>
      </c>
    </row>
    <row r="50" spans="1:61" ht="12.6" thickBot="1">
      <c r="A50" s="911" t="s">
        <v>614</v>
      </c>
      <c r="B50" s="1607" t="s">
        <v>252</v>
      </c>
      <c r="C50" s="1604" t="s">
        <v>252</v>
      </c>
      <c r="D50" s="913">
        <v>0</v>
      </c>
      <c r="E50" s="1424">
        <v>0</v>
      </c>
      <c r="F50" s="913">
        <v>0</v>
      </c>
      <c r="G50" s="913">
        <v>0</v>
      </c>
      <c r="H50" s="913">
        <v>0</v>
      </c>
      <c r="I50" s="913">
        <v>0</v>
      </c>
      <c r="J50" s="913">
        <v>0</v>
      </c>
      <c r="K50" s="913">
        <v>0</v>
      </c>
      <c r="L50" s="913">
        <v>0</v>
      </c>
      <c r="M50" s="913">
        <v>0</v>
      </c>
      <c r="N50" s="913">
        <v>2</v>
      </c>
      <c r="O50" s="894">
        <v>1</v>
      </c>
      <c r="P50" s="1384">
        <f t="shared" si="18"/>
        <v>0.25</v>
      </c>
      <c r="Q50" s="1366">
        <f t="shared" si="19"/>
        <v>3.9473684210526314E-2</v>
      </c>
      <c r="R50" s="1347" t="s">
        <v>616</v>
      </c>
      <c r="S50" s="1368" t="s">
        <v>24</v>
      </c>
      <c r="T50" s="1517">
        <v>12</v>
      </c>
      <c r="U50" s="190">
        <v>8</v>
      </c>
      <c r="V50" s="189">
        <v>8</v>
      </c>
      <c r="W50" s="189">
        <v>4</v>
      </c>
      <c r="X50" s="189">
        <v>2</v>
      </c>
      <c r="Y50" s="189">
        <v>2</v>
      </c>
      <c r="Z50" s="189">
        <v>1</v>
      </c>
      <c r="AA50" s="189">
        <v>0</v>
      </c>
      <c r="AB50" s="189">
        <v>2</v>
      </c>
      <c r="AC50" s="189">
        <v>4</v>
      </c>
      <c r="AD50" s="189">
        <v>1</v>
      </c>
      <c r="AE50" s="1518">
        <v>4</v>
      </c>
      <c r="AF50" s="1362">
        <f t="shared" si="20"/>
        <v>4</v>
      </c>
      <c r="AG50" s="1366">
        <f t="shared" si="21"/>
        <v>1.5915119363395226E-2</v>
      </c>
      <c r="AH50" s="1416">
        <v>2</v>
      </c>
      <c r="AI50" s="1413"/>
      <c r="AJ50" s="1061">
        <v>4</v>
      </c>
      <c r="AK50" s="1061"/>
      <c r="AL50" s="1061"/>
      <c r="AM50" s="1061">
        <v>1</v>
      </c>
      <c r="AN50" s="1061"/>
      <c r="AO50" s="1061"/>
      <c r="AP50" s="1061"/>
      <c r="AQ50" s="1061">
        <v>1</v>
      </c>
      <c r="AR50" s="1066">
        <v>3</v>
      </c>
      <c r="AS50" s="1060">
        <v>1</v>
      </c>
      <c r="AT50" s="1347">
        <f t="shared" si="22"/>
        <v>2</v>
      </c>
      <c r="AU50" s="2066">
        <f t="shared" si="23"/>
        <v>1.1347517730496455E-2</v>
      </c>
      <c r="AV50" s="2958">
        <v>4</v>
      </c>
      <c r="AW50" s="2959">
        <v>3</v>
      </c>
      <c r="AX50" s="1353">
        <v>1</v>
      </c>
      <c r="AY50" s="1353">
        <v>5</v>
      </c>
      <c r="AZ50" s="1353">
        <v>2</v>
      </c>
      <c r="BA50" s="1353">
        <v>1</v>
      </c>
      <c r="BB50" s="1353">
        <v>1</v>
      </c>
      <c r="BC50" s="1353">
        <v>0</v>
      </c>
      <c r="BD50" s="1353">
        <v>0</v>
      </c>
      <c r="BE50" s="1353">
        <v>0</v>
      </c>
      <c r="BF50" s="1406">
        <v>0</v>
      </c>
      <c r="BG50" s="1355">
        <v>3</v>
      </c>
      <c r="BH50" s="2069">
        <v>2</v>
      </c>
      <c r="BI50" s="1372">
        <v>0.01</v>
      </c>
    </row>
    <row r="51" spans="1:61">
      <c r="B51" s="1448"/>
      <c r="C51" s="1519"/>
      <c r="P51" s="1364"/>
      <c r="Q51" s="1364"/>
      <c r="S51" s="1364"/>
      <c r="AF51" s="1364"/>
      <c r="AG51" s="1364"/>
      <c r="AU51" s="1364"/>
    </row>
    <row r="52" spans="1:61">
      <c r="B52" s="1448"/>
      <c r="C52" s="1448"/>
    </row>
    <row r="53" spans="1:61" ht="12.6" thickBot="1">
      <c r="B53" s="1448"/>
      <c r="C53" s="1448"/>
    </row>
    <row r="54" spans="1:61" ht="15" customHeight="1" thickBot="1">
      <c r="B54" s="1497" t="s">
        <v>12</v>
      </c>
      <c r="C54" s="1494" t="s">
        <v>13</v>
      </c>
      <c r="D54" s="3751" t="s">
        <v>14</v>
      </c>
      <c r="E54" s="3752"/>
      <c r="F54" s="3752"/>
      <c r="G54" s="3752"/>
      <c r="H54" s="3752"/>
      <c r="I54" s="3752"/>
      <c r="J54" s="3752"/>
      <c r="K54" s="3752"/>
      <c r="L54" s="3752"/>
      <c r="M54" s="3752"/>
      <c r="N54" s="3752"/>
      <c r="O54" s="3752"/>
      <c r="P54" s="3752"/>
      <c r="Q54" s="3753"/>
      <c r="R54" s="3761" t="s">
        <v>15</v>
      </c>
      <c r="S54" s="3762"/>
      <c r="T54" s="3751" t="s">
        <v>16</v>
      </c>
      <c r="U54" s="3752"/>
      <c r="V54" s="3752"/>
      <c r="W54" s="3752"/>
      <c r="X54" s="3752"/>
      <c r="Y54" s="3752"/>
      <c r="Z54" s="3752"/>
      <c r="AA54" s="3752"/>
      <c r="AB54" s="3752"/>
      <c r="AC54" s="3752"/>
      <c r="AD54" s="3752"/>
      <c r="AE54" s="3752"/>
      <c r="AF54" s="3752"/>
      <c r="AG54" s="3753"/>
      <c r="AH54" s="3754" t="s">
        <v>163</v>
      </c>
      <c r="AI54" s="3755"/>
      <c r="AJ54" s="3755"/>
      <c r="AK54" s="3755"/>
      <c r="AL54" s="3755"/>
      <c r="AM54" s="3755"/>
      <c r="AN54" s="3755"/>
      <c r="AO54" s="3755"/>
      <c r="AP54" s="3755"/>
      <c r="AQ54" s="3755"/>
      <c r="AR54" s="3755"/>
      <c r="AS54" s="3755"/>
      <c r="AT54" s="3755"/>
      <c r="AU54" s="3756"/>
      <c r="AV54" s="3754" t="s">
        <v>164</v>
      </c>
      <c r="AW54" s="3755"/>
      <c r="AX54" s="3755"/>
      <c r="AY54" s="3755"/>
      <c r="AZ54" s="3755"/>
      <c r="BA54" s="3755"/>
      <c r="BB54" s="3755"/>
      <c r="BC54" s="3755"/>
      <c r="BD54" s="3755"/>
      <c r="BE54" s="3755"/>
      <c r="BF54" s="3755"/>
      <c r="BG54" s="3755"/>
      <c r="BH54" s="3755"/>
      <c r="BI54" s="3756"/>
    </row>
    <row r="55" spans="1:61" ht="13.15">
      <c r="A55" s="909" t="s">
        <v>619</v>
      </c>
      <c r="B55" s="1498"/>
      <c r="C55" s="1496"/>
      <c r="D55" s="1393">
        <v>43951</v>
      </c>
      <c r="E55" s="1463">
        <v>43982</v>
      </c>
      <c r="F55" s="1393">
        <v>44012</v>
      </c>
      <c r="G55" s="1392">
        <v>44043</v>
      </c>
      <c r="H55" s="1394">
        <v>44074</v>
      </c>
      <c r="I55" s="1392">
        <v>44104</v>
      </c>
      <c r="J55" s="1393">
        <v>44135</v>
      </c>
      <c r="K55" s="1392">
        <v>44165</v>
      </c>
      <c r="L55" s="1393">
        <v>44196</v>
      </c>
      <c r="M55" s="1392">
        <v>44227</v>
      </c>
      <c r="N55" s="1393">
        <v>44255</v>
      </c>
      <c r="O55" s="1456">
        <v>44286</v>
      </c>
      <c r="P55" s="1396" t="s">
        <v>620</v>
      </c>
      <c r="Q55" s="1395" t="s">
        <v>296</v>
      </c>
      <c r="R55" s="1453" t="s">
        <v>620</v>
      </c>
      <c r="S55" s="1352" t="s">
        <v>296</v>
      </c>
      <c r="T55" s="1393">
        <v>44681</v>
      </c>
      <c r="U55" s="1463">
        <v>44712</v>
      </c>
      <c r="V55" s="1393">
        <v>44742</v>
      </c>
      <c r="W55" s="1392">
        <v>44773</v>
      </c>
      <c r="X55" s="1394">
        <v>44804</v>
      </c>
      <c r="Y55" s="1392">
        <v>44834</v>
      </c>
      <c r="Z55" s="1393">
        <v>44865</v>
      </c>
      <c r="AA55" s="1392">
        <v>44895</v>
      </c>
      <c r="AB55" s="1393">
        <v>44926</v>
      </c>
      <c r="AC55" s="1392">
        <v>44957</v>
      </c>
      <c r="AD55" s="1463">
        <v>44985</v>
      </c>
      <c r="AE55" s="1393">
        <v>45016</v>
      </c>
      <c r="AF55" s="1396" t="s">
        <v>620</v>
      </c>
      <c r="AG55" s="1395" t="s">
        <v>296</v>
      </c>
      <c r="AH55" s="1034">
        <v>45030</v>
      </c>
      <c r="AI55" s="907">
        <v>45062</v>
      </c>
      <c r="AJ55" s="907">
        <v>45094</v>
      </c>
      <c r="AK55" s="908">
        <v>45126</v>
      </c>
      <c r="AL55" s="907">
        <v>45158</v>
      </c>
      <c r="AM55" s="908">
        <v>45190</v>
      </c>
      <c r="AN55" s="907">
        <v>45222</v>
      </c>
      <c r="AO55" s="908">
        <v>45254</v>
      </c>
      <c r="AP55" s="907">
        <v>45286</v>
      </c>
      <c r="AQ55" s="908">
        <v>45318</v>
      </c>
      <c r="AR55" s="907">
        <v>45350</v>
      </c>
      <c r="AS55" s="908">
        <v>45382</v>
      </c>
      <c r="AT55" s="1453" t="s">
        <v>620</v>
      </c>
      <c r="AU55" s="1352" t="s">
        <v>296</v>
      </c>
      <c r="AV55" s="1434">
        <v>45396</v>
      </c>
      <c r="AW55" s="1435">
        <v>45428</v>
      </c>
      <c r="AX55" s="1434">
        <v>45460</v>
      </c>
      <c r="AY55" s="1434">
        <v>45492</v>
      </c>
      <c r="AZ55" s="1435">
        <v>45524</v>
      </c>
      <c r="BA55" s="1434">
        <v>45556</v>
      </c>
      <c r="BB55" s="1434">
        <v>45588</v>
      </c>
      <c r="BC55" s="1435">
        <v>45620</v>
      </c>
      <c r="BD55" s="1434">
        <v>45652</v>
      </c>
      <c r="BE55" s="1434">
        <v>45684</v>
      </c>
      <c r="BF55" s="1435">
        <v>45716</v>
      </c>
      <c r="BG55" s="1434">
        <v>45717</v>
      </c>
      <c r="BH55" s="1436" t="s">
        <v>620</v>
      </c>
      <c r="BI55" s="1437" t="s">
        <v>296</v>
      </c>
    </row>
    <row r="56" spans="1:61">
      <c r="A56" s="910" t="s">
        <v>251</v>
      </c>
      <c r="B56" s="1605" t="s">
        <v>252</v>
      </c>
      <c r="C56" s="1595" t="s">
        <v>252</v>
      </c>
      <c r="D56" s="1422">
        <v>31</v>
      </c>
      <c r="E56" s="694">
        <v>56</v>
      </c>
      <c r="F56" s="693">
        <v>23</v>
      </c>
      <c r="G56" s="693">
        <v>58</v>
      </c>
      <c r="H56" s="693">
        <v>74</v>
      </c>
      <c r="I56" s="693">
        <v>66</v>
      </c>
      <c r="J56" s="693">
        <v>93</v>
      </c>
      <c r="K56" s="693">
        <v>49</v>
      </c>
      <c r="L56" s="693">
        <v>465</v>
      </c>
      <c r="M56" s="693">
        <v>43</v>
      </c>
      <c r="N56" s="694">
        <v>51</v>
      </c>
      <c r="O56" s="691">
        <v>266</v>
      </c>
      <c r="P56" s="1388">
        <f>SUM(D56:O56)</f>
        <v>1275</v>
      </c>
      <c r="Q56" s="1387">
        <f>P56/(P56+P57)</f>
        <v>0.60198300283286121</v>
      </c>
      <c r="R56" s="1454" t="s">
        <v>252</v>
      </c>
      <c r="S56" s="1373" t="s">
        <v>24</v>
      </c>
      <c r="T56" s="1422">
        <v>66</v>
      </c>
      <c r="U56" s="694">
        <v>55</v>
      </c>
      <c r="V56" s="693">
        <v>72</v>
      </c>
      <c r="W56" s="693">
        <v>86</v>
      </c>
      <c r="X56" s="693">
        <v>101</v>
      </c>
      <c r="Y56" s="693">
        <v>142</v>
      </c>
      <c r="Z56" s="693">
        <v>85</v>
      </c>
      <c r="AA56" s="693">
        <v>81</v>
      </c>
      <c r="AB56" s="693">
        <v>81</v>
      </c>
      <c r="AC56" s="693">
        <v>65</v>
      </c>
      <c r="AD56" s="694">
        <v>61</v>
      </c>
      <c r="AE56" s="695">
        <v>94</v>
      </c>
      <c r="AF56" s="1388">
        <f>SUM(T56:AE56)</f>
        <v>989</v>
      </c>
      <c r="AG56" s="1387">
        <f>AF56/(AF56+AF57)</f>
        <v>0.67416496250852076</v>
      </c>
      <c r="AH56" s="1361">
        <v>75</v>
      </c>
      <c r="AI56" s="1057">
        <v>79</v>
      </c>
      <c r="AJ56" s="1058">
        <v>89</v>
      </c>
      <c r="AK56" s="1057">
        <v>65</v>
      </c>
      <c r="AL56" s="1059">
        <v>81</v>
      </c>
      <c r="AM56" s="1058">
        <v>84</v>
      </c>
      <c r="AN56" s="1057">
        <v>68</v>
      </c>
      <c r="AO56" s="1056">
        <v>57</v>
      </c>
      <c r="AP56" s="1058">
        <v>58</v>
      </c>
      <c r="AQ56" s="1057">
        <v>67</v>
      </c>
      <c r="AR56" s="1057">
        <v>63</v>
      </c>
      <c r="AS56" s="1055">
        <v>76</v>
      </c>
      <c r="AT56" s="1454">
        <f>SUM(AH56:AS56)</f>
        <v>862</v>
      </c>
      <c r="AU56" s="1373">
        <f>AT56/(AT56+AT57)</f>
        <v>0.66461063993831915</v>
      </c>
      <c r="AV56" s="1361">
        <v>75</v>
      </c>
      <c r="AW56" s="1057">
        <v>93</v>
      </c>
      <c r="AX56" s="1058">
        <v>74</v>
      </c>
      <c r="AY56" s="1057">
        <v>75</v>
      </c>
      <c r="AZ56" s="1059">
        <v>112</v>
      </c>
      <c r="BA56" s="1058">
        <v>101</v>
      </c>
      <c r="BB56" s="1057">
        <v>101</v>
      </c>
      <c r="BC56" s="1056">
        <v>61</v>
      </c>
      <c r="BD56" s="1058">
        <v>73</v>
      </c>
      <c r="BE56" s="1057">
        <v>74</v>
      </c>
      <c r="BF56" s="1057">
        <v>55</v>
      </c>
      <c r="BG56" s="1055">
        <v>57</v>
      </c>
      <c r="BH56" s="1454">
        <v>951</v>
      </c>
      <c r="BI56" s="1373">
        <v>0.59799999999999998</v>
      </c>
    </row>
    <row r="57" spans="1:61">
      <c r="A57" s="911" t="s">
        <v>253</v>
      </c>
      <c r="B57" s="1614" t="s">
        <v>252</v>
      </c>
      <c r="C57" s="1597" t="s">
        <v>252</v>
      </c>
      <c r="D57" s="1489">
        <v>15</v>
      </c>
      <c r="E57" s="1458">
        <v>41</v>
      </c>
      <c r="F57" s="1459">
        <v>13</v>
      </c>
      <c r="G57" s="1459">
        <v>37</v>
      </c>
      <c r="H57" s="1459">
        <v>39</v>
      </c>
      <c r="I57" s="1459">
        <v>41</v>
      </c>
      <c r="J57" s="1459">
        <v>87</v>
      </c>
      <c r="K57" s="1459">
        <v>28</v>
      </c>
      <c r="L57" s="1459">
        <v>346</v>
      </c>
      <c r="M57" s="1459">
        <v>22</v>
      </c>
      <c r="N57" s="1458">
        <v>51</v>
      </c>
      <c r="O57" s="1457">
        <v>123</v>
      </c>
      <c r="P57" s="1358">
        <f>SUM(D57:O57)</f>
        <v>843</v>
      </c>
      <c r="Q57" s="1374">
        <f>P57/(P56+P57)</f>
        <v>0.39801699716713879</v>
      </c>
      <c r="R57" s="1455" t="s">
        <v>252</v>
      </c>
      <c r="S57" s="1374" t="s">
        <v>24</v>
      </c>
      <c r="T57" s="1489">
        <v>29</v>
      </c>
      <c r="U57" s="1458">
        <v>32</v>
      </c>
      <c r="V57" s="1459">
        <v>43</v>
      </c>
      <c r="W57" s="1459">
        <v>48</v>
      </c>
      <c r="X57" s="1459">
        <v>43</v>
      </c>
      <c r="Y57" s="1459">
        <v>63</v>
      </c>
      <c r="Z57" s="1459">
        <v>34</v>
      </c>
      <c r="AA57" s="1459">
        <v>32</v>
      </c>
      <c r="AB57" s="1459">
        <v>43</v>
      </c>
      <c r="AC57" s="1459">
        <v>31</v>
      </c>
      <c r="AD57" s="1458">
        <v>36</v>
      </c>
      <c r="AE57" s="1491">
        <v>44</v>
      </c>
      <c r="AF57" s="1358">
        <f>SUM(T57:AE57)</f>
        <v>478</v>
      </c>
      <c r="AG57" s="1374">
        <f>AF57/(AF56+AF57)</f>
        <v>0.32583503749147918</v>
      </c>
      <c r="AH57" s="1356">
        <v>28</v>
      </c>
      <c r="AI57" s="1353">
        <v>29</v>
      </c>
      <c r="AJ57" s="1354">
        <v>41</v>
      </c>
      <c r="AK57" s="1353">
        <v>37</v>
      </c>
      <c r="AL57" s="1354">
        <v>35</v>
      </c>
      <c r="AM57" s="1356">
        <v>50</v>
      </c>
      <c r="AN57" s="1353">
        <v>46</v>
      </c>
      <c r="AO57" s="1355">
        <v>34</v>
      </c>
      <c r="AP57" s="1354">
        <v>30</v>
      </c>
      <c r="AQ57" s="1353">
        <v>29</v>
      </c>
      <c r="AR57" s="1406">
        <v>31</v>
      </c>
      <c r="AS57" s="1355">
        <v>45</v>
      </c>
      <c r="AT57" s="1455">
        <f>SUM(AH57:AS57)</f>
        <v>435</v>
      </c>
      <c r="AU57" s="1374">
        <f>AT57/(AT56+AT57)</f>
        <v>0.3353893600616808</v>
      </c>
      <c r="AV57" s="1356">
        <v>58</v>
      </c>
      <c r="AW57" s="1353">
        <v>50</v>
      </c>
      <c r="AX57" s="1354">
        <v>68</v>
      </c>
      <c r="AY57" s="1353">
        <v>49</v>
      </c>
      <c r="AZ57" s="1354">
        <v>65</v>
      </c>
      <c r="BA57" s="1356">
        <v>72</v>
      </c>
      <c r="BB57" s="1353">
        <v>77</v>
      </c>
      <c r="BC57" s="1355">
        <v>41</v>
      </c>
      <c r="BD57" s="1354">
        <v>39</v>
      </c>
      <c r="BE57" s="1353">
        <v>44</v>
      </c>
      <c r="BF57" s="1406">
        <v>37</v>
      </c>
      <c r="BG57" s="1355">
        <v>38</v>
      </c>
      <c r="BH57" s="1455">
        <v>638</v>
      </c>
      <c r="BI57" s="1374">
        <v>0.40200000000000002</v>
      </c>
    </row>
    <row r="58" spans="1:61">
      <c r="A58" s="699"/>
      <c r="B58" s="1445"/>
      <c r="C58" s="1442"/>
      <c r="D58" s="690"/>
      <c r="E58" s="690"/>
      <c r="F58" s="690"/>
      <c r="G58" s="690"/>
      <c r="H58" s="690"/>
      <c r="I58" s="690"/>
      <c r="J58" s="690"/>
      <c r="K58" s="690"/>
      <c r="L58" s="690"/>
      <c r="M58" s="690"/>
      <c r="N58" s="690"/>
      <c r="O58" s="690"/>
      <c r="P58" s="690"/>
      <c r="Q58" s="1375"/>
      <c r="R58" s="690"/>
      <c r="S58" s="1375"/>
      <c r="T58" s="690"/>
      <c r="U58" s="690"/>
      <c r="V58" s="690"/>
      <c r="W58" s="690"/>
      <c r="X58" s="690"/>
      <c r="Y58" s="690"/>
      <c r="Z58" s="690"/>
      <c r="AA58" s="690"/>
      <c r="AB58" s="690"/>
      <c r="AC58" s="690"/>
      <c r="AD58" s="690"/>
      <c r="AE58" s="690"/>
      <c r="AF58" s="690"/>
      <c r="AG58" s="1375"/>
      <c r="AH58" s="690"/>
      <c r="AI58" s="690"/>
      <c r="AJ58" s="690"/>
      <c r="AK58" s="690"/>
      <c r="AL58" s="690"/>
      <c r="AM58" s="690"/>
      <c r="AN58" s="690"/>
      <c r="AO58" s="690"/>
      <c r="AP58" s="690"/>
      <c r="AQ58" s="690"/>
      <c r="AR58" s="690"/>
      <c r="AS58" s="690"/>
      <c r="AT58" s="690"/>
      <c r="AU58" s="1375"/>
      <c r="AV58" s="690"/>
      <c r="AW58" s="690"/>
      <c r="AX58" s="690"/>
      <c r="AY58" s="690"/>
      <c r="AZ58" s="690"/>
      <c r="BA58" s="690"/>
      <c r="BB58" s="690"/>
      <c r="BC58" s="690"/>
      <c r="BD58" s="690"/>
      <c r="BE58" s="690"/>
      <c r="BF58" s="690"/>
      <c r="BG58" s="690"/>
      <c r="BH58" s="690"/>
      <c r="BI58" s="1375"/>
    </row>
    <row r="59" spans="1:61" ht="13.15">
      <c r="A59" s="909" t="s">
        <v>619</v>
      </c>
      <c r="B59" s="1466" t="s">
        <v>607</v>
      </c>
      <c r="C59" s="1443" t="s">
        <v>607</v>
      </c>
      <c r="D59" s="1476">
        <v>43951</v>
      </c>
      <c r="E59" s="1462">
        <v>43982</v>
      </c>
      <c r="F59" s="1462">
        <v>44012</v>
      </c>
      <c r="G59" s="1463">
        <v>44043</v>
      </c>
      <c r="H59" s="1464">
        <v>44074</v>
      </c>
      <c r="I59" s="1463">
        <v>44104</v>
      </c>
      <c r="J59" s="1462">
        <v>44135</v>
      </c>
      <c r="K59" s="1463">
        <v>44165</v>
      </c>
      <c r="L59" s="1462">
        <v>44196</v>
      </c>
      <c r="M59" s="1463">
        <v>44227</v>
      </c>
      <c r="N59" s="1462">
        <v>44255</v>
      </c>
      <c r="O59" s="1504">
        <v>44286</v>
      </c>
      <c r="P59" s="1460" t="s">
        <v>620</v>
      </c>
      <c r="Q59" s="1390" t="s">
        <v>296</v>
      </c>
      <c r="R59" s="1342" t="s">
        <v>620</v>
      </c>
      <c r="S59" s="1376" t="s">
        <v>296</v>
      </c>
      <c r="T59" s="1476">
        <v>44681</v>
      </c>
      <c r="U59" s="1462">
        <v>44712</v>
      </c>
      <c r="V59" s="1462">
        <v>44742</v>
      </c>
      <c r="W59" s="1463">
        <v>44773</v>
      </c>
      <c r="X59" s="1464">
        <v>44804</v>
      </c>
      <c r="Y59" s="1463">
        <v>44834</v>
      </c>
      <c r="Z59" s="1462">
        <v>44865</v>
      </c>
      <c r="AA59" s="1463">
        <v>44895</v>
      </c>
      <c r="AB59" s="1462">
        <v>44926</v>
      </c>
      <c r="AC59" s="1463">
        <v>44957</v>
      </c>
      <c r="AD59" s="1462">
        <v>44985</v>
      </c>
      <c r="AE59" s="1504">
        <v>45016</v>
      </c>
      <c r="AF59" s="1460" t="s">
        <v>620</v>
      </c>
      <c r="AG59" s="1390" t="s">
        <v>296</v>
      </c>
      <c r="AH59" s="1029">
        <v>45030</v>
      </c>
      <c r="AI59" s="1030">
        <v>45062</v>
      </c>
      <c r="AJ59" s="1029">
        <v>45094</v>
      </c>
      <c r="AK59" s="1030">
        <v>45126</v>
      </c>
      <c r="AL59" s="1029">
        <v>45158</v>
      </c>
      <c r="AM59" s="1030">
        <v>45190</v>
      </c>
      <c r="AN59" s="1029">
        <v>45222</v>
      </c>
      <c r="AO59" s="1030">
        <v>45254</v>
      </c>
      <c r="AP59" s="1029">
        <v>45286</v>
      </c>
      <c r="AQ59" s="1030">
        <v>45318</v>
      </c>
      <c r="AR59" s="1029">
        <v>45350</v>
      </c>
      <c r="AS59" s="1030">
        <v>45382</v>
      </c>
      <c r="AT59" s="1342" t="s">
        <v>620</v>
      </c>
      <c r="AU59" s="2071" t="s">
        <v>296</v>
      </c>
      <c r="AV59" s="2061">
        <v>45396</v>
      </c>
      <c r="AW59" s="908">
        <v>45428</v>
      </c>
      <c r="AX59" s="907">
        <v>45460</v>
      </c>
      <c r="AY59" s="907">
        <v>45492</v>
      </c>
      <c r="AZ59" s="908">
        <v>45524</v>
      </c>
      <c r="BA59" s="907">
        <v>45556</v>
      </c>
      <c r="BB59" s="907">
        <v>45588</v>
      </c>
      <c r="BC59" s="908">
        <v>45620</v>
      </c>
      <c r="BD59" s="907">
        <v>45652</v>
      </c>
      <c r="BE59" s="907">
        <v>45684</v>
      </c>
      <c r="BF59" s="908">
        <v>45716</v>
      </c>
      <c r="BG59" s="1434">
        <v>45717</v>
      </c>
      <c r="BH59" s="2064" t="s">
        <v>620</v>
      </c>
      <c r="BI59" s="2040" t="s">
        <v>296</v>
      </c>
    </row>
    <row r="60" spans="1:61">
      <c r="A60" s="910" t="s">
        <v>274</v>
      </c>
      <c r="B60" s="1612" t="s">
        <v>252</v>
      </c>
      <c r="C60" s="1598" t="s">
        <v>252</v>
      </c>
      <c r="D60" s="1508">
        <v>3</v>
      </c>
      <c r="E60" s="696">
        <v>18</v>
      </c>
      <c r="F60" s="696">
        <v>1</v>
      </c>
      <c r="G60" s="696">
        <v>12</v>
      </c>
      <c r="H60" s="696">
        <v>9</v>
      </c>
      <c r="I60" s="696">
        <v>25</v>
      </c>
      <c r="J60" s="696">
        <v>16</v>
      </c>
      <c r="K60" s="696">
        <v>29</v>
      </c>
      <c r="L60" s="696">
        <v>18</v>
      </c>
      <c r="M60" s="696">
        <v>3</v>
      </c>
      <c r="N60" s="696">
        <v>3</v>
      </c>
      <c r="O60" s="1505">
        <v>17</v>
      </c>
      <c r="P60" s="1461">
        <f>SUM(D60:O60)</f>
        <v>154</v>
      </c>
      <c r="Q60" s="1366">
        <f>P60/SUM($P$60:$P$67)</f>
        <v>7.2710103871576962E-2</v>
      </c>
      <c r="R60" s="1345" t="s">
        <v>252</v>
      </c>
      <c r="S60" s="1366" t="s">
        <v>24</v>
      </c>
      <c r="T60" s="1508">
        <v>8</v>
      </c>
      <c r="U60" s="696">
        <v>11</v>
      </c>
      <c r="V60" s="696">
        <v>18</v>
      </c>
      <c r="W60" s="696">
        <v>13</v>
      </c>
      <c r="X60" s="696">
        <v>11</v>
      </c>
      <c r="Y60" s="696">
        <v>20</v>
      </c>
      <c r="Z60" s="696">
        <v>15</v>
      </c>
      <c r="AA60" s="696">
        <v>8</v>
      </c>
      <c r="AB60" s="696">
        <v>4</v>
      </c>
      <c r="AC60" s="696">
        <v>6</v>
      </c>
      <c r="AD60" s="696">
        <v>14</v>
      </c>
      <c r="AE60" s="1505">
        <v>13</v>
      </c>
      <c r="AF60" s="1461">
        <f>SUM(T60:AE60)</f>
        <v>141</v>
      </c>
      <c r="AG60" s="1366">
        <f>AF60/SUM($AF$60:$AF$67)</f>
        <v>0.10180505415162455</v>
      </c>
      <c r="AH60" s="1414">
        <v>18</v>
      </c>
      <c r="AI60" s="1409">
        <v>22</v>
      </c>
      <c r="AJ60" s="1056">
        <v>22</v>
      </c>
      <c r="AK60" s="1056">
        <v>18</v>
      </c>
      <c r="AL60" s="1056">
        <v>16</v>
      </c>
      <c r="AM60" s="1056">
        <v>13</v>
      </c>
      <c r="AN60" s="1056">
        <v>12</v>
      </c>
      <c r="AO60" s="1056">
        <v>14</v>
      </c>
      <c r="AP60" s="1056">
        <v>9</v>
      </c>
      <c r="AQ60" s="1056">
        <v>13</v>
      </c>
      <c r="AR60" s="1057">
        <v>13</v>
      </c>
      <c r="AS60" s="1055">
        <v>16</v>
      </c>
      <c r="AT60" s="1345">
        <f>SUM(AH60:AS60)</f>
        <v>186</v>
      </c>
      <c r="AU60" s="1514">
        <f t="shared" ref="AU60:AU67" si="24">AT60/SUM($AT$60:$AT$67)</f>
        <v>0.14868105515587529</v>
      </c>
      <c r="AV60" s="2956">
        <v>10</v>
      </c>
      <c r="AW60" s="1409">
        <v>20</v>
      </c>
      <c r="AX60" s="1056">
        <v>17</v>
      </c>
      <c r="AY60" s="1056">
        <v>12</v>
      </c>
      <c r="AZ60" s="1056">
        <v>13</v>
      </c>
      <c r="BA60" s="1056">
        <v>17</v>
      </c>
      <c r="BB60" s="1056">
        <v>12</v>
      </c>
      <c r="BC60" s="1056">
        <v>12</v>
      </c>
      <c r="BD60" s="1056">
        <v>11</v>
      </c>
      <c r="BE60" s="1056">
        <v>5</v>
      </c>
      <c r="BF60" s="1057">
        <v>10</v>
      </c>
      <c r="BG60" s="1055">
        <v>12</v>
      </c>
      <c r="BH60" s="1345">
        <v>151</v>
      </c>
      <c r="BI60" s="2065">
        <v>9.5000000000000001E-2</v>
      </c>
    </row>
    <row r="61" spans="1:61">
      <c r="A61" s="912" t="s">
        <v>278</v>
      </c>
      <c r="B61" s="1612" t="s">
        <v>252</v>
      </c>
      <c r="C61" s="1598" t="s">
        <v>252</v>
      </c>
      <c r="D61" s="1426">
        <v>12</v>
      </c>
      <c r="E61" s="697">
        <v>31</v>
      </c>
      <c r="F61" s="697">
        <v>11</v>
      </c>
      <c r="G61" s="697">
        <v>24</v>
      </c>
      <c r="H61" s="697">
        <v>25</v>
      </c>
      <c r="I61" s="697">
        <v>15</v>
      </c>
      <c r="J61" s="697">
        <v>46</v>
      </c>
      <c r="K61" s="697">
        <v>5</v>
      </c>
      <c r="L61" s="697">
        <v>455</v>
      </c>
      <c r="M61" s="697">
        <v>7</v>
      </c>
      <c r="N61" s="697">
        <v>32</v>
      </c>
      <c r="O61" s="1505">
        <v>29</v>
      </c>
      <c r="P61" s="1461">
        <f t="shared" ref="P61:P67" si="25">SUM(D61:O61)</f>
        <v>692</v>
      </c>
      <c r="Q61" s="1366">
        <f t="shared" ref="Q61:Q67" si="26">P61/SUM($P$60:$P$67)</f>
        <v>0.32672332389046271</v>
      </c>
      <c r="R61" s="1345" t="s">
        <v>252</v>
      </c>
      <c r="S61" s="1366" t="s">
        <v>24</v>
      </c>
      <c r="T61" s="1426">
        <v>21</v>
      </c>
      <c r="U61" s="697">
        <v>27</v>
      </c>
      <c r="V61" s="697">
        <v>32</v>
      </c>
      <c r="W61" s="697">
        <v>34</v>
      </c>
      <c r="X61" s="697">
        <v>25</v>
      </c>
      <c r="Y61" s="697">
        <v>38</v>
      </c>
      <c r="Z61" s="697">
        <v>31</v>
      </c>
      <c r="AA61" s="697">
        <v>23</v>
      </c>
      <c r="AB61" s="697">
        <v>7</v>
      </c>
      <c r="AC61" s="697">
        <v>20</v>
      </c>
      <c r="AD61" s="697">
        <v>17</v>
      </c>
      <c r="AE61" s="1505">
        <v>29</v>
      </c>
      <c r="AF61" s="1461">
        <f t="shared" ref="AF61:AF67" si="27">SUM(T61:AE61)</f>
        <v>304</v>
      </c>
      <c r="AG61" s="1366">
        <f t="shared" ref="AG61:AG67" si="28">AF61/SUM($AF$60:$AF$67)</f>
        <v>0.21949458483754514</v>
      </c>
      <c r="AH61" s="1415">
        <v>23</v>
      </c>
      <c r="AI61" s="1412">
        <v>29</v>
      </c>
      <c r="AJ61" s="1064">
        <v>37</v>
      </c>
      <c r="AK61" s="1064">
        <v>22</v>
      </c>
      <c r="AL61" s="1064">
        <v>28</v>
      </c>
      <c r="AM61" s="1064">
        <v>24</v>
      </c>
      <c r="AN61" s="1064">
        <v>20</v>
      </c>
      <c r="AO61" s="1064">
        <v>24</v>
      </c>
      <c r="AP61" s="1064">
        <v>16</v>
      </c>
      <c r="AQ61" s="1064">
        <v>29</v>
      </c>
      <c r="AR61" s="1065">
        <v>15</v>
      </c>
      <c r="AS61" s="1063">
        <v>26</v>
      </c>
      <c r="AT61" s="1345">
        <f t="shared" ref="AT61:AT67" si="29">SUM(AH61:AS61)</f>
        <v>293</v>
      </c>
      <c r="AU61" s="1514">
        <f t="shared" si="24"/>
        <v>0.23421262989608313</v>
      </c>
      <c r="AV61" s="2957">
        <v>29</v>
      </c>
      <c r="AW61" s="1412">
        <v>31</v>
      </c>
      <c r="AX61" s="1064">
        <v>28</v>
      </c>
      <c r="AY61" s="1064">
        <v>23</v>
      </c>
      <c r="AZ61" s="1064">
        <v>29</v>
      </c>
      <c r="BA61" s="1064">
        <v>26</v>
      </c>
      <c r="BB61" s="1064">
        <v>23</v>
      </c>
      <c r="BC61" s="1064">
        <v>13</v>
      </c>
      <c r="BD61" s="1064">
        <v>21</v>
      </c>
      <c r="BE61" s="1064">
        <v>19</v>
      </c>
      <c r="BF61" s="1065">
        <v>24</v>
      </c>
      <c r="BG61" s="1063">
        <v>14</v>
      </c>
      <c r="BH61" s="1345">
        <v>280</v>
      </c>
      <c r="BI61" s="2065">
        <v>0.17599999999999999</v>
      </c>
    </row>
    <row r="62" spans="1:61">
      <c r="A62" s="912" t="s">
        <v>279</v>
      </c>
      <c r="B62" s="1612" t="s">
        <v>252</v>
      </c>
      <c r="C62" s="1598" t="s">
        <v>252</v>
      </c>
      <c r="D62" s="1426">
        <v>31</v>
      </c>
      <c r="E62" s="697">
        <v>48</v>
      </c>
      <c r="F62" s="697">
        <v>24</v>
      </c>
      <c r="G62" s="697">
        <v>58</v>
      </c>
      <c r="H62" s="697">
        <v>79</v>
      </c>
      <c r="I62" s="697">
        <v>66</v>
      </c>
      <c r="J62" s="697">
        <v>117</v>
      </c>
      <c r="K62" s="697">
        <v>43</v>
      </c>
      <c r="L62" s="697">
        <v>338</v>
      </c>
      <c r="M62" s="697">
        <v>55</v>
      </c>
      <c r="N62" s="697">
        <v>66</v>
      </c>
      <c r="O62" s="1505">
        <v>343</v>
      </c>
      <c r="P62" s="1461">
        <f t="shared" si="25"/>
        <v>1268</v>
      </c>
      <c r="Q62" s="1366">
        <f t="shared" si="26"/>
        <v>0.59867799811142586</v>
      </c>
      <c r="R62" s="1345" t="s">
        <v>252</v>
      </c>
      <c r="S62" s="1366" t="s">
        <v>24</v>
      </c>
      <c r="T62" s="1426">
        <v>66</v>
      </c>
      <c r="U62" s="697">
        <v>49</v>
      </c>
      <c r="V62" s="697">
        <v>65</v>
      </c>
      <c r="W62" s="697">
        <v>87</v>
      </c>
      <c r="X62" s="697">
        <v>105</v>
      </c>
      <c r="Y62" s="697">
        <v>147</v>
      </c>
      <c r="Z62" s="697">
        <v>72</v>
      </c>
      <c r="AA62" s="697">
        <v>81</v>
      </c>
      <c r="AB62" s="697">
        <v>32</v>
      </c>
      <c r="AC62" s="697">
        <v>70</v>
      </c>
      <c r="AD62" s="697">
        <v>64</v>
      </c>
      <c r="AE62" s="1505">
        <v>85</v>
      </c>
      <c r="AF62" s="1461">
        <f t="shared" si="27"/>
        <v>923</v>
      </c>
      <c r="AG62" s="1366">
        <f t="shared" si="28"/>
        <v>0.66642599277978343</v>
      </c>
      <c r="AH62" s="1415">
        <v>62</v>
      </c>
      <c r="AI62" s="1412">
        <v>53</v>
      </c>
      <c r="AJ62" s="1064">
        <v>64</v>
      </c>
      <c r="AK62" s="1064">
        <v>56</v>
      </c>
      <c r="AL62" s="1064">
        <v>68</v>
      </c>
      <c r="AM62" s="1064">
        <v>91</v>
      </c>
      <c r="AN62" s="1064">
        <v>77</v>
      </c>
      <c r="AO62" s="1064">
        <v>50</v>
      </c>
      <c r="AP62" s="1064">
        <v>59</v>
      </c>
      <c r="AQ62" s="1064">
        <v>51</v>
      </c>
      <c r="AR62" s="1065">
        <v>61</v>
      </c>
      <c r="AS62" s="1063">
        <v>75</v>
      </c>
      <c r="AT62" s="1345">
        <f t="shared" si="29"/>
        <v>767</v>
      </c>
      <c r="AU62" s="1514">
        <f t="shared" si="24"/>
        <v>0.61310951239008793</v>
      </c>
      <c r="AV62" s="2957">
        <v>57</v>
      </c>
      <c r="AW62" s="1412">
        <v>58</v>
      </c>
      <c r="AX62" s="1064">
        <v>53</v>
      </c>
      <c r="AY62" s="1064">
        <v>45</v>
      </c>
      <c r="AZ62" s="1064">
        <v>79</v>
      </c>
      <c r="BA62" s="1064">
        <v>75</v>
      </c>
      <c r="BB62" s="1064">
        <v>53</v>
      </c>
      <c r="BC62" s="1064">
        <v>45</v>
      </c>
      <c r="BD62" s="1064">
        <v>52</v>
      </c>
      <c r="BE62" s="1064">
        <v>53</v>
      </c>
      <c r="BF62" s="1065">
        <v>47</v>
      </c>
      <c r="BG62" s="1063">
        <v>53</v>
      </c>
      <c r="BH62" s="1345">
        <v>670</v>
      </c>
      <c r="BI62" s="2065">
        <v>0.42199999999999999</v>
      </c>
    </row>
    <row r="63" spans="1:61">
      <c r="A63" s="912" t="s">
        <v>176</v>
      </c>
      <c r="B63" s="1612"/>
      <c r="C63" s="1598"/>
      <c r="D63" s="1426"/>
      <c r="E63" s="697"/>
      <c r="F63" s="697"/>
      <c r="G63" s="697"/>
      <c r="H63" s="697"/>
      <c r="I63" s="697"/>
      <c r="J63" s="697"/>
      <c r="K63" s="697"/>
      <c r="L63" s="697"/>
      <c r="M63" s="697"/>
      <c r="N63" s="697"/>
      <c r="O63" s="1505"/>
      <c r="P63" s="1461"/>
      <c r="Q63" s="1366"/>
      <c r="R63" s="1345"/>
      <c r="S63" s="1366"/>
      <c r="T63" s="1426"/>
      <c r="U63" s="697"/>
      <c r="V63" s="697"/>
      <c r="W63" s="697"/>
      <c r="X63" s="697"/>
      <c r="Y63" s="697"/>
      <c r="Z63" s="697"/>
      <c r="AA63" s="697"/>
      <c r="AB63" s="697"/>
      <c r="AC63" s="697"/>
      <c r="AD63" s="697"/>
      <c r="AE63" s="1505"/>
      <c r="AF63" s="1461"/>
      <c r="AG63" s="1366"/>
      <c r="AH63" s="1415"/>
      <c r="AI63" s="1412"/>
      <c r="AJ63" s="1064"/>
      <c r="AK63" s="1064"/>
      <c r="AL63" s="1064"/>
      <c r="AM63" s="1064"/>
      <c r="AN63" s="1064"/>
      <c r="AO63" s="1064"/>
      <c r="AP63" s="1064"/>
      <c r="AQ63" s="1064"/>
      <c r="AR63" s="1065"/>
      <c r="AS63" s="1063"/>
      <c r="AT63" s="1345"/>
      <c r="AU63" s="1514"/>
      <c r="AV63" s="2957">
        <v>17</v>
      </c>
      <c r="AW63" s="1412">
        <v>13</v>
      </c>
      <c r="AX63" s="1064">
        <v>15</v>
      </c>
      <c r="AY63" s="1064">
        <v>19</v>
      </c>
      <c r="AZ63" s="1064">
        <v>18</v>
      </c>
      <c r="BA63" s="1064">
        <v>16</v>
      </c>
      <c r="BB63" s="1064">
        <v>54</v>
      </c>
      <c r="BC63" s="1064">
        <v>18</v>
      </c>
      <c r="BD63" s="1064">
        <v>8</v>
      </c>
      <c r="BE63" s="1064">
        <v>4</v>
      </c>
      <c r="BF63" s="1065">
        <v>9</v>
      </c>
      <c r="BG63" s="1063">
        <v>11</v>
      </c>
      <c r="BH63" s="1345">
        <v>202</v>
      </c>
      <c r="BI63" s="2065">
        <v>0.127</v>
      </c>
    </row>
    <row r="64" spans="1:61">
      <c r="A64" s="912" t="s">
        <v>177</v>
      </c>
      <c r="B64" s="1612" t="s">
        <v>252</v>
      </c>
      <c r="C64" s="1598" t="s">
        <v>252</v>
      </c>
      <c r="D64" s="1426">
        <v>0</v>
      </c>
      <c r="E64" s="697">
        <v>0</v>
      </c>
      <c r="F64" s="697">
        <v>0</v>
      </c>
      <c r="G64" s="697">
        <v>0</v>
      </c>
      <c r="H64" s="697">
        <v>0</v>
      </c>
      <c r="I64" s="697">
        <v>1</v>
      </c>
      <c r="J64" s="697">
        <v>0</v>
      </c>
      <c r="K64" s="697">
        <v>0</v>
      </c>
      <c r="L64" s="697">
        <v>0</v>
      </c>
      <c r="M64" s="697">
        <v>0</v>
      </c>
      <c r="N64" s="697">
        <v>1</v>
      </c>
      <c r="O64" s="1505">
        <v>0</v>
      </c>
      <c r="P64" s="1461">
        <f t="shared" si="25"/>
        <v>2</v>
      </c>
      <c r="Q64" s="1366">
        <f t="shared" si="26"/>
        <v>9.4428706326723328E-4</v>
      </c>
      <c r="R64" s="1345" t="s">
        <v>252</v>
      </c>
      <c r="S64" s="1366" t="s">
        <v>24</v>
      </c>
      <c r="T64" s="1426">
        <v>0</v>
      </c>
      <c r="U64" s="697">
        <v>0</v>
      </c>
      <c r="V64" s="697">
        <v>0</v>
      </c>
      <c r="W64" s="697">
        <v>0</v>
      </c>
      <c r="X64" s="697">
        <v>3</v>
      </c>
      <c r="Y64" s="697">
        <v>0</v>
      </c>
      <c r="Z64" s="697">
        <v>0</v>
      </c>
      <c r="AA64" s="697">
        <v>0</v>
      </c>
      <c r="AB64" s="697">
        <v>0</v>
      </c>
      <c r="AC64" s="697">
        <v>0</v>
      </c>
      <c r="AD64" s="697">
        <v>0</v>
      </c>
      <c r="AE64" s="1505">
        <v>1</v>
      </c>
      <c r="AF64" s="1461">
        <f t="shared" si="27"/>
        <v>4</v>
      </c>
      <c r="AG64" s="1366">
        <f t="shared" si="28"/>
        <v>2.8880866425992778E-3</v>
      </c>
      <c r="AH64" s="1415">
        <v>0</v>
      </c>
      <c r="AI64" s="1412">
        <v>0</v>
      </c>
      <c r="AJ64" s="1064">
        <v>0</v>
      </c>
      <c r="AK64" s="1064">
        <v>0</v>
      </c>
      <c r="AL64" s="1064">
        <v>2</v>
      </c>
      <c r="AM64" s="1064">
        <v>0</v>
      </c>
      <c r="AN64" s="1064">
        <v>0</v>
      </c>
      <c r="AO64" s="1064">
        <v>0</v>
      </c>
      <c r="AP64" s="1064">
        <v>0</v>
      </c>
      <c r="AQ64" s="1064">
        <v>1</v>
      </c>
      <c r="AR64" s="1065">
        <v>0</v>
      </c>
      <c r="AS64" s="1063">
        <v>0</v>
      </c>
      <c r="AT64" s="1345">
        <f t="shared" si="29"/>
        <v>3</v>
      </c>
      <c r="AU64" s="1514">
        <f t="shared" si="24"/>
        <v>2.3980815347721821E-3</v>
      </c>
      <c r="AV64" s="2957">
        <v>0</v>
      </c>
      <c r="AW64" s="1412">
        <v>0</v>
      </c>
      <c r="AX64" s="1064">
        <v>0</v>
      </c>
      <c r="AY64" s="1064">
        <v>0</v>
      </c>
      <c r="AZ64" s="1064">
        <v>0</v>
      </c>
      <c r="BA64" s="1064">
        <v>0</v>
      </c>
      <c r="BB64" s="1064">
        <v>0</v>
      </c>
      <c r="BC64" s="1064">
        <v>0</v>
      </c>
      <c r="BD64" s="1064">
        <v>0</v>
      </c>
      <c r="BE64" s="1064">
        <v>0</v>
      </c>
      <c r="BF64" s="1065">
        <v>0</v>
      </c>
      <c r="BG64" s="1063">
        <v>1</v>
      </c>
      <c r="BH64" s="1345">
        <v>1</v>
      </c>
      <c r="BI64" s="2065">
        <v>1E-3</v>
      </c>
    </row>
    <row r="65" spans="1:61">
      <c r="A65" s="912" t="s">
        <v>178</v>
      </c>
      <c r="B65" s="1612" t="s">
        <v>252</v>
      </c>
      <c r="C65" s="1598" t="s">
        <v>252</v>
      </c>
      <c r="D65" s="1426">
        <v>0</v>
      </c>
      <c r="E65" s="697">
        <v>0</v>
      </c>
      <c r="F65" s="697">
        <v>0</v>
      </c>
      <c r="G65" s="697">
        <v>0</v>
      </c>
      <c r="H65" s="697">
        <v>0</v>
      </c>
      <c r="I65" s="697">
        <v>0</v>
      </c>
      <c r="J65" s="697">
        <v>0</v>
      </c>
      <c r="K65" s="697">
        <v>0</v>
      </c>
      <c r="L65" s="697">
        <v>0</v>
      </c>
      <c r="M65" s="697">
        <v>0</v>
      </c>
      <c r="N65" s="697">
        <v>0</v>
      </c>
      <c r="O65" s="1505">
        <v>0</v>
      </c>
      <c r="P65" s="1461">
        <f t="shared" si="25"/>
        <v>0</v>
      </c>
      <c r="Q65" s="1366">
        <f t="shared" si="26"/>
        <v>0</v>
      </c>
      <c r="R65" s="1345" t="s">
        <v>252</v>
      </c>
      <c r="S65" s="1366" t="s">
        <v>24</v>
      </c>
      <c r="T65" s="1426">
        <v>0</v>
      </c>
      <c r="U65" s="697">
        <v>0</v>
      </c>
      <c r="V65" s="697">
        <v>0</v>
      </c>
      <c r="W65" s="697">
        <v>0</v>
      </c>
      <c r="X65" s="697">
        <v>0</v>
      </c>
      <c r="Y65" s="697">
        <v>0</v>
      </c>
      <c r="Z65" s="697">
        <v>0</v>
      </c>
      <c r="AA65" s="697">
        <v>0</v>
      </c>
      <c r="AB65" s="697">
        <v>0</v>
      </c>
      <c r="AC65" s="697">
        <v>0</v>
      </c>
      <c r="AD65" s="697">
        <v>0</v>
      </c>
      <c r="AE65" s="1505">
        <v>0</v>
      </c>
      <c r="AF65" s="1461">
        <f t="shared" si="27"/>
        <v>0</v>
      </c>
      <c r="AG65" s="1366">
        <f t="shared" si="28"/>
        <v>0</v>
      </c>
      <c r="AH65" s="1415">
        <v>0</v>
      </c>
      <c r="AI65" s="1412">
        <v>0</v>
      </c>
      <c r="AJ65" s="1064">
        <v>0</v>
      </c>
      <c r="AK65" s="1064">
        <v>0</v>
      </c>
      <c r="AL65" s="1064">
        <v>0</v>
      </c>
      <c r="AM65" s="1064">
        <v>0</v>
      </c>
      <c r="AN65" s="1064">
        <v>0</v>
      </c>
      <c r="AO65" s="1064">
        <v>0</v>
      </c>
      <c r="AP65" s="1064">
        <v>0</v>
      </c>
      <c r="AQ65" s="1064">
        <v>0</v>
      </c>
      <c r="AR65" s="1065">
        <v>0</v>
      </c>
      <c r="AS65" s="1063">
        <v>0</v>
      </c>
      <c r="AT65" s="1345">
        <f t="shared" si="29"/>
        <v>0</v>
      </c>
      <c r="AU65" s="1514">
        <f t="shared" si="24"/>
        <v>0</v>
      </c>
      <c r="AV65" s="2957">
        <v>0</v>
      </c>
      <c r="AW65" s="1412">
        <v>1</v>
      </c>
      <c r="AX65" s="1064">
        <v>1</v>
      </c>
      <c r="AY65" s="1064">
        <v>0</v>
      </c>
      <c r="AZ65" s="1064">
        <v>0</v>
      </c>
      <c r="BA65" s="1064">
        <v>0</v>
      </c>
      <c r="BB65" s="1064">
        <v>2</v>
      </c>
      <c r="BC65" s="1064">
        <v>0</v>
      </c>
      <c r="BD65" s="1064">
        <v>0</v>
      </c>
      <c r="BE65" s="1064">
        <v>1</v>
      </c>
      <c r="BF65" s="1065">
        <v>0</v>
      </c>
      <c r="BG65" s="1063">
        <v>0</v>
      </c>
      <c r="BH65" s="1345">
        <v>5</v>
      </c>
      <c r="BI65" s="2065">
        <v>3.0000000000000001E-3</v>
      </c>
    </row>
    <row r="66" spans="1:61">
      <c r="A66" s="1010" t="s">
        <v>608</v>
      </c>
      <c r="B66" s="1613"/>
      <c r="C66" s="1600"/>
      <c r="D66" s="1509"/>
      <c r="E66" s="1018"/>
      <c r="F66" s="1018"/>
      <c r="G66" s="1018"/>
      <c r="H66" s="1018"/>
      <c r="I66" s="1018"/>
      <c r="J66" s="1018"/>
      <c r="K66" s="1018"/>
      <c r="L66" s="1018"/>
      <c r="M66" s="1018"/>
      <c r="N66" s="1018"/>
      <c r="O66" s="1506"/>
      <c r="P66" s="1461"/>
      <c r="Q66" s="1366">
        <f t="shared" si="26"/>
        <v>0</v>
      </c>
      <c r="R66" s="1345"/>
      <c r="S66" s="1514" t="s">
        <v>24</v>
      </c>
      <c r="T66" s="1516"/>
      <c r="U66" s="1515"/>
      <c r="V66" s="1515"/>
      <c r="W66" s="1515"/>
      <c r="X66" s="1515"/>
      <c r="Y66" s="1515"/>
      <c r="Z66" s="1515"/>
      <c r="AA66" s="1515"/>
      <c r="AB66" s="1515"/>
      <c r="AC66" s="1515"/>
      <c r="AD66" s="1515"/>
      <c r="AE66" s="1037"/>
      <c r="AF66" s="1345"/>
      <c r="AG66" s="1366">
        <f t="shared" si="28"/>
        <v>0</v>
      </c>
      <c r="AH66" s="1420">
        <v>0</v>
      </c>
      <c r="AI66" s="1418">
        <v>4</v>
      </c>
      <c r="AJ66" s="1071">
        <v>7</v>
      </c>
      <c r="AK66" s="1071">
        <v>6</v>
      </c>
      <c r="AL66" s="1071">
        <v>2</v>
      </c>
      <c r="AM66" s="1071">
        <v>6</v>
      </c>
      <c r="AN66" s="1071">
        <v>5</v>
      </c>
      <c r="AO66" s="1071">
        <v>3</v>
      </c>
      <c r="AP66" s="1071">
        <v>3</v>
      </c>
      <c r="AQ66" s="1071">
        <v>1</v>
      </c>
      <c r="AR66" s="1072">
        <v>5</v>
      </c>
      <c r="AS66" s="1398">
        <v>4</v>
      </c>
      <c r="AT66" s="1345"/>
      <c r="AU66" s="1514">
        <f t="shared" si="24"/>
        <v>0</v>
      </c>
      <c r="AV66" s="2968">
        <v>3</v>
      </c>
      <c r="AW66" s="1418">
        <v>0</v>
      </c>
      <c r="AX66" s="1071">
        <v>4</v>
      </c>
      <c r="AY66" s="1071">
        <v>2</v>
      </c>
      <c r="AZ66" s="1071">
        <v>9</v>
      </c>
      <c r="BA66" s="1071">
        <v>7</v>
      </c>
      <c r="BB66" s="1071">
        <v>5</v>
      </c>
      <c r="BC66" s="1071">
        <v>1</v>
      </c>
      <c r="BD66" s="1071">
        <v>1</v>
      </c>
      <c r="BE66" s="1071">
        <v>4</v>
      </c>
      <c r="BF66" s="1072">
        <v>1</v>
      </c>
      <c r="BG66" s="1398">
        <v>3</v>
      </c>
      <c r="BH66" s="1345">
        <v>40</v>
      </c>
      <c r="BI66" s="2065">
        <v>2.5000000000000001E-2</v>
      </c>
    </row>
    <row r="67" spans="1:61" ht="12.6" thickBot="1">
      <c r="A67" s="911" t="s">
        <v>182</v>
      </c>
      <c r="B67" s="1607" t="s">
        <v>252</v>
      </c>
      <c r="C67" s="1597" t="s">
        <v>252</v>
      </c>
      <c r="D67" s="1510">
        <v>0</v>
      </c>
      <c r="E67" s="1465">
        <v>0</v>
      </c>
      <c r="F67" s="1465">
        <v>0</v>
      </c>
      <c r="G67" s="1465">
        <v>1</v>
      </c>
      <c r="H67" s="1465">
        <v>0</v>
      </c>
      <c r="I67" s="1465">
        <v>0</v>
      </c>
      <c r="J67" s="1465">
        <v>1</v>
      </c>
      <c r="K67" s="1465">
        <v>0</v>
      </c>
      <c r="L67" s="1465">
        <v>0</v>
      </c>
      <c r="M67" s="1465">
        <v>0</v>
      </c>
      <c r="N67" s="1465">
        <v>0</v>
      </c>
      <c r="O67" s="1507">
        <v>0</v>
      </c>
      <c r="P67" s="1503">
        <f t="shared" si="25"/>
        <v>2</v>
      </c>
      <c r="Q67" s="1366">
        <f t="shared" si="26"/>
        <v>9.4428706326723328E-4</v>
      </c>
      <c r="R67" s="1344" t="s">
        <v>252</v>
      </c>
      <c r="S67" s="1368" t="s">
        <v>24</v>
      </c>
      <c r="T67" s="1510">
        <v>0</v>
      </c>
      <c r="U67" s="1465">
        <v>0</v>
      </c>
      <c r="V67" s="1465">
        <v>0</v>
      </c>
      <c r="W67" s="1465">
        <v>0</v>
      </c>
      <c r="X67" s="1465">
        <v>0</v>
      </c>
      <c r="Y67" s="1465">
        <v>0</v>
      </c>
      <c r="Z67" s="1465">
        <v>1</v>
      </c>
      <c r="AA67" s="1465">
        <v>1</v>
      </c>
      <c r="AB67" s="1465">
        <v>0</v>
      </c>
      <c r="AC67" s="1465">
        <v>0</v>
      </c>
      <c r="AD67" s="1465">
        <v>1</v>
      </c>
      <c r="AE67" s="1507">
        <v>10</v>
      </c>
      <c r="AF67" s="1503">
        <f t="shared" si="27"/>
        <v>13</v>
      </c>
      <c r="AG67" s="1366">
        <f t="shared" si="28"/>
        <v>9.3862815884476532E-3</v>
      </c>
      <c r="AH67" s="1421">
        <v>0</v>
      </c>
      <c r="AI67" s="1419"/>
      <c r="AJ67" s="1073">
        <v>0</v>
      </c>
      <c r="AK67" s="1073">
        <v>0</v>
      </c>
      <c r="AL67" s="1073">
        <v>0</v>
      </c>
      <c r="AM67" s="1073">
        <v>0</v>
      </c>
      <c r="AN67" s="1073">
        <v>0</v>
      </c>
      <c r="AO67" s="1073">
        <v>0</v>
      </c>
      <c r="AP67" s="1073">
        <v>1</v>
      </c>
      <c r="AQ67" s="1073">
        <v>1</v>
      </c>
      <c r="AR67" s="1074">
        <v>0</v>
      </c>
      <c r="AS67" s="1399">
        <v>0</v>
      </c>
      <c r="AT67" s="1344">
        <f t="shared" si="29"/>
        <v>2</v>
      </c>
      <c r="AU67" s="2066">
        <f t="shared" si="24"/>
        <v>1.5987210231814548E-3</v>
      </c>
      <c r="AV67" s="2969">
        <v>17</v>
      </c>
      <c r="AW67" s="2970">
        <v>20</v>
      </c>
      <c r="AX67" s="2971">
        <v>24</v>
      </c>
      <c r="AY67" s="2971">
        <v>23</v>
      </c>
      <c r="AZ67" s="2971">
        <v>29</v>
      </c>
      <c r="BA67" s="2971">
        <v>32</v>
      </c>
      <c r="BB67" s="2971">
        <v>29</v>
      </c>
      <c r="BC67" s="2971">
        <v>13</v>
      </c>
      <c r="BD67" s="2971">
        <v>19</v>
      </c>
      <c r="BE67" s="2971">
        <v>32</v>
      </c>
      <c r="BF67" s="2972">
        <v>1</v>
      </c>
      <c r="BG67" s="2973">
        <v>1</v>
      </c>
      <c r="BH67" s="1358">
        <v>240</v>
      </c>
      <c r="BI67" s="1372">
        <v>0.151</v>
      </c>
    </row>
    <row r="68" spans="1:61">
      <c r="A68" s="194"/>
      <c r="B68" s="1444"/>
      <c r="C68" s="1442"/>
      <c r="D68" s="690"/>
      <c r="E68" s="690"/>
      <c r="F68" s="690"/>
      <c r="G68" s="690"/>
      <c r="H68" s="690"/>
      <c r="I68" s="690"/>
      <c r="J68" s="690"/>
      <c r="K68" s="690"/>
      <c r="L68" s="690"/>
      <c r="M68" s="690"/>
      <c r="N68" s="690"/>
      <c r="O68" s="690"/>
      <c r="P68" s="1483"/>
      <c r="Q68" s="1377"/>
      <c r="R68" s="195"/>
      <c r="S68" s="1377"/>
      <c r="T68" s="690"/>
      <c r="U68" s="690"/>
      <c r="V68" s="690"/>
      <c r="W68" s="690"/>
      <c r="X68" s="690"/>
      <c r="Y68" s="690"/>
      <c r="Z68" s="690"/>
      <c r="AA68" s="690"/>
      <c r="AB68" s="690"/>
      <c r="AC68" s="690"/>
      <c r="AD68" s="690"/>
      <c r="AE68" s="690"/>
      <c r="AF68" s="1483"/>
      <c r="AG68" s="1377"/>
      <c r="AH68" s="195"/>
      <c r="AI68" s="195"/>
      <c r="AJ68" s="195"/>
      <c r="AK68" s="195"/>
      <c r="AL68" s="195"/>
      <c r="AM68" s="195"/>
      <c r="AN68" s="195"/>
      <c r="AO68" s="195"/>
      <c r="AP68" s="195"/>
      <c r="AQ68" s="195"/>
      <c r="AR68" s="195"/>
      <c r="AS68" s="195"/>
      <c r="AT68" s="195"/>
      <c r="AU68" s="1377"/>
      <c r="AV68" s="195"/>
      <c r="AW68" s="195"/>
      <c r="AX68" s="195"/>
      <c r="AY68" s="195"/>
      <c r="AZ68" s="195"/>
      <c r="BA68" s="195"/>
      <c r="BB68" s="195"/>
      <c r="BC68" s="195"/>
      <c r="BD68" s="195"/>
      <c r="BE68" s="195"/>
      <c r="BF68" s="195"/>
      <c r="BG68" s="195"/>
      <c r="BH68" s="195"/>
      <c r="BI68" s="2073"/>
    </row>
    <row r="69" spans="1:61" ht="13.15">
      <c r="A69" s="909" t="s">
        <v>619</v>
      </c>
      <c r="B69" s="1443" t="s">
        <v>607</v>
      </c>
      <c r="C69" s="1449" t="s">
        <v>607</v>
      </c>
      <c r="D69" s="905">
        <v>43951</v>
      </c>
      <c r="E69" s="904">
        <v>43982</v>
      </c>
      <c r="F69" s="905">
        <v>44012</v>
      </c>
      <c r="G69" s="904">
        <v>44043</v>
      </c>
      <c r="H69" s="906">
        <v>44074</v>
      </c>
      <c r="I69" s="904">
        <v>44104</v>
      </c>
      <c r="J69" s="905">
        <v>44135</v>
      </c>
      <c r="K69" s="904">
        <v>44165</v>
      </c>
      <c r="L69" s="905">
        <v>44196</v>
      </c>
      <c r="M69" s="904">
        <v>44227</v>
      </c>
      <c r="N69" s="905">
        <v>44255</v>
      </c>
      <c r="O69" s="904">
        <v>44286</v>
      </c>
      <c r="P69" s="1389" t="s">
        <v>620</v>
      </c>
      <c r="Q69" s="1390" t="s">
        <v>296</v>
      </c>
      <c r="R69" s="1342" t="s">
        <v>620</v>
      </c>
      <c r="S69" s="1376" t="s">
        <v>296</v>
      </c>
      <c r="T69" s="905">
        <v>44681</v>
      </c>
      <c r="U69" s="904">
        <v>44712</v>
      </c>
      <c r="V69" s="905">
        <v>44742</v>
      </c>
      <c r="W69" s="904">
        <v>44773</v>
      </c>
      <c r="X69" s="906">
        <v>44804</v>
      </c>
      <c r="Y69" s="904">
        <v>44834</v>
      </c>
      <c r="Z69" s="905">
        <v>44865</v>
      </c>
      <c r="AA69" s="904">
        <v>44895</v>
      </c>
      <c r="AB69" s="905">
        <v>44926</v>
      </c>
      <c r="AC69" s="904">
        <v>44957</v>
      </c>
      <c r="AD69" s="905">
        <v>44985</v>
      </c>
      <c r="AE69" s="904">
        <v>45016</v>
      </c>
      <c r="AF69" s="1389" t="s">
        <v>620</v>
      </c>
      <c r="AG69" s="1390" t="s">
        <v>296</v>
      </c>
      <c r="AH69" s="1029">
        <v>45030</v>
      </c>
      <c r="AI69" s="1030">
        <v>45062</v>
      </c>
      <c r="AJ69" s="1029">
        <v>45094</v>
      </c>
      <c r="AK69" s="1030">
        <v>45126</v>
      </c>
      <c r="AL69" s="1029">
        <v>45158</v>
      </c>
      <c r="AM69" s="1030">
        <v>45190</v>
      </c>
      <c r="AN69" s="1029">
        <v>45222</v>
      </c>
      <c r="AO69" s="1030">
        <v>45254</v>
      </c>
      <c r="AP69" s="1029">
        <v>45286</v>
      </c>
      <c r="AQ69" s="1030">
        <v>45318</v>
      </c>
      <c r="AR69" s="1029">
        <v>45350</v>
      </c>
      <c r="AS69" s="1030">
        <v>45382</v>
      </c>
      <c r="AT69" s="1342" t="s">
        <v>620</v>
      </c>
      <c r="AU69" s="2071" t="s">
        <v>296</v>
      </c>
      <c r="AV69" s="2061">
        <v>45396</v>
      </c>
      <c r="AW69" s="908">
        <v>45428</v>
      </c>
      <c r="AX69" s="907">
        <v>45460</v>
      </c>
      <c r="AY69" s="907">
        <v>45492</v>
      </c>
      <c r="AZ69" s="908">
        <v>45524</v>
      </c>
      <c r="BA69" s="907">
        <v>45556</v>
      </c>
      <c r="BB69" s="907">
        <v>45588</v>
      </c>
      <c r="BC69" s="908">
        <v>45620</v>
      </c>
      <c r="BD69" s="907">
        <v>45652</v>
      </c>
      <c r="BE69" s="907">
        <v>45684</v>
      </c>
      <c r="BF69" s="908">
        <v>45716</v>
      </c>
      <c r="BG69" s="1434">
        <v>45717</v>
      </c>
      <c r="BH69" s="2064" t="s">
        <v>620</v>
      </c>
      <c r="BI69" s="2040" t="s">
        <v>296</v>
      </c>
    </row>
    <row r="70" spans="1:61">
      <c r="A70" s="910" t="s">
        <v>609</v>
      </c>
      <c r="B70" s="1595" t="s">
        <v>252</v>
      </c>
      <c r="C70" s="1608" t="s">
        <v>252</v>
      </c>
      <c r="D70" s="696">
        <v>7</v>
      </c>
      <c r="E70" s="694">
        <v>29</v>
      </c>
      <c r="F70" s="696">
        <v>5</v>
      </c>
      <c r="G70" s="696">
        <v>18</v>
      </c>
      <c r="H70" s="696">
        <v>15</v>
      </c>
      <c r="I70" s="696">
        <v>17</v>
      </c>
      <c r="J70" s="696">
        <v>21</v>
      </c>
      <c r="K70" s="696">
        <v>7</v>
      </c>
      <c r="L70" s="696">
        <v>73</v>
      </c>
      <c r="M70" s="696">
        <v>7</v>
      </c>
      <c r="N70" s="696">
        <v>12</v>
      </c>
      <c r="O70" s="1036">
        <v>33</v>
      </c>
      <c r="P70" s="1500">
        <f>SUM(D70:O70)</f>
        <v>244</v>
      </c>
      <c r="Q70" s="1366">
        <f>P70/SUM($P$70:$P$75)</f>
        <v>0.11520302171860246</v>
      </c>
      <c r="R70" s="1345" t="s">
        <v>252</v>
      </c>
      <c r="S70" s="1366" t="s">
        <v>24</v>
      </c>
      <c r="T70" s="696">
        <v>9</v>
      </c>
      <c r="U70" s="694">
        <v>20</v>
      </c>
      <c r="V70" s="696">
        <v>24</v>
      </c>
      <c r="W70" s="696">
        <v>35</v>
      </c>
      <c r="X70" s="696">
        <v>40</v>
      </c>
      <c r="Y70" s="696">
        <v>86</v>
      </c>
      <c r="Z70" s="696">
        <v>31</v>
      </c>
      <c r="AA70" s="696">
        <v>22</v>
      </c>
      <c r="AB70" s="696">
        <v>25</v>
      </c>
      <c r="AC70" s="696">
        <v>20</v>
      </c>
      <c r="AD70" s="696">
        <v>19</v>
      </c>
      <c r="AE70" s="1036">
        <v>22</v>
      </c>
      <c r="AF70" s="1500">
        <f>SUM(T70:AE70)</f>
        <v>353</v>
      </c>
      <c r="AG70" s="1366">
        <f>AF70/SUM($AF$70:$AF$75)</f>
        <v>0.24227865477007549</v>
      </c>
      <c r="AH70" s="1414">
        <v>25</v>
      </c>
      <c r="AI70" s="1409">
        <v>24</v>
      </c>
      <c r="AJ70" s="1056">
        <v>39</v>
      </c>
      <c r="AK70" s="1056">
        <v>28</v>
      </c>
      <c r="AL70" s="1056">
        <v>28</v>
      </c>
      <c r="AM70" s="1056">
        <v>53</v>
      </c>
      <c r="AN70" s="1056">
        <v>39</v>
      </c>
      <c r="AO70" s="1056">
        <v>25</v>
      </c>
      <c r="AP70" s="1056">
        <v>26</v>
      </c>
      <c r="AQ70" s="1056">
        <v>22</v>
      </c>
      <c r="AR70" s="1057">
        <v>27</v>
      </c>
      <c r="AS70" s="1055">
        <v>34</v>
      </c>
      <c r="AT70" s="1345">
        <f>SUM(AH70:AS70)</f>
        <v>370</v>
      </c>
      <c r="AU70" s="1514">
        <f t="shared" ref="AU70:AU75" si="30">AT70/SUM($AT$60:$AT$67)</f>
        <v>0.29576338928856916</v>
      </c>
      <c r="AV70" s="2956">
        <v>25</v>
      </c>
      <c r="AW70" s="1409">
        <v>39</v>
      </c>
      <c r="AX70" s="1056">
        <v>37</v>
      </c>
      <c r="AY70" s="1056">
        <v>36</v>
      </c>
      <c r="AZ70" s="1056">
        <v>54</v>
      </c>
      <c r="BA70" s="1056">
        <v>58</v>
      </c>
      <c r="BB70" s="1056">
        <v>62</v>
      </c>
      <c r="BC70" s="1056">
        <v>27</v>
      </c>
      <c r="BD70" s="1056">
        <v>29</v>
      </c>
      <c r="BE70" s="1056">
        <v>33</v>
      </c>
      <c r="BF70" s="1057">
        <v>27</v>
      </c>
      <c r="BG70" s="1055">
        <v>21</v>
      </c>
      <c r="BH70" s="1345">
        <v>448</v>
      </c>
      <c r="BI70" s="2065">
        <v>0.28199999999999997</v>
      </c>
    </row>
    <row r="71" spans="1:61">
      <c r="A71" s="912" t="s">
        <v>610</v>
      </c>
      <c r="B71" s="1598" t="s">
        <v>252</v>
      </c>
      <c r="C71" s="1608" t="s">
        <v>252</v>
      </c>
      <c r="D71" s="697">
        <v>13</v>
      </c>
      <c r="E71" s="1492">
        <v>15</v>
      </c>
      <c r="F71" s="697">
        <v>8</v>
      </c>
      <c r="G71" s="697">
        <v>23</v>
      </c>
      <c r="H71" s="697">
        <v>23</v>
      </c>
      <c r="I71" s="697">
        <v>22</v>
      </c>
      <c r="J71" s="697">
        <v>47</v>
      </c>
      <c r="K71" s="697">
        <v>23</v>
      </c>
      <c r="L71" s="697">
        <v>150</v>
      </c>
      <c r="M71" s="697">
        <v>20</v>
      </c>
      <c r="N71" s="697">
        <v>29</v>
      </c>
      <c r="O71" s="1036">
        <v>77</v>
      </c>
      <c r="P71" s="1501">
        <f t="shared" ref="P71:P75" si="31">SUM(D71:O71)</f>
        <v>450</v>
      </c>
      <c r="Q71" s="1366">
        <f t="shared" ref="Q71:Q75" si="32">P71/SUM($P$70:$P$75)</f>
        <v>0.21246458923512748</v>
      </c>
      <c r="R71" s="1345" t="s">
        <v>252</v>
      </c>
      <c r="S71" s="1366" t="s">
        <v>24</v>
      </c>
      <c r="T71" s="697">
        <v>23</v>
      </c>
      <c r="U71" s="1492">
        <v>26</v>
      </c>
      <c r="V71" s="697">
        <v>21</v>
      </c>
      <c r="W71" s="697">
        <v>25</v>
      </c>
      <c r="X71" s="697">
        <v>38</v>
      </c>
      <c r="Y71" s="697">
        <v>30</v>
      </c>
      <c r="Z71" s="697">
        <v>21</v>
      </c>
      <c r="AA71" s="697">
        <v>23</v>
      </c>
      <c r="AB71" s="697">
        <v>26</v>
      </c>
      <c r="AC71" s="697">
        <v>24</v>
      </c>
      <c r="AD71" s="697">
        <v>17</v>
      </c>
      <c r="AE71" s="1036">
        <v>35</v>
      </c>
      <c r="AF71" s="1501">
        <f t="shared" ref="AF71:AF75" si="33">SUM(T71:AE71)</f>
        <v>309</v>
      </c>
      <c r="AG71" s="1366">
        <f t="shared" ref="AG71:AG75" si="34">AF71/SUM($AF$70:$AF$75)</f>
        <v>0.21207961564859301</v>
      </c>
      <c r="AH71" s="1417">
        <v>21</v>
      </c>
      <c r="AI71" s="1412">
        <v>14</v>
      </c>
      <c r="AJ71" s="1064">
        <v>27</v>
      </c>
      <c r="AK71" s="1064">
        <v>30</v>
      </c>
      <c r="AL71" s="1064">
        <v>36</v>
      </c>
      <c r="AM71" s="1064">
        <v>31</v>
      </c>
      <c r="AN71" s="1064">
        <v>27</v>
      </c>
      <c r="AO71" s="1064">
        <v>20</v>
      </c>
      <c r="AP71" s="1064">
        <v>21</v>
      </c>
      <c r="AQ71" s="1064">
        <v>28</v>
      </c>
      <c r="AR71" s="1065">
        <v>20</v>
      </c>
      <c r="AS71" s="1063">
        <v>24</v>
      </c>
      <c r="AT71" s="1345">
        <f t="shared" ref="AT71:AT75" si="35">SUM(AH71:AS71)</f>
        <v>299</v>
      </c>
      <c r="AU71" s="1514">
        <f t="shared" si="30"/>
        <v>0.23900879296562749</v>
      </c>
      <c r="AV71" s="2960">
        <v>36</v>
      </c>
      <c r="AW71" s="1412">
        <v>42</v>
      </c>
      <c r="AX71" s="1064">
        <v>34</v>
      </c>
      <c r="AY71" s="1064">
        <v>42</v>
      </c>
      <c r="AZ71" s="1064">
        <v>54</v>
      </c>
      <c r="BA71" s="1064">
        <v>38</v>
      </c>
      <c r="BB71" s="1064">
        <v>44</v>
      </c>
      <c r="BC71" s="1064">
        <v>25</v>
      </c>
      <c r="BD71" s="1064">
        <v>22</v>
      </c>
      <c r="BE71" s="1064">
        <v>25</v>
      </c>
      <c r="BF71" s="1065">
        <v>20</v>
      </c>
      <c r="BG71" s="1063">
        <v>19</v>
      </c>
      <c r="BH71" s="1345">
        <v>401</v>
      </c>
      <c r="BI71" s="2065">
        <v>0.252</v>
      </c>
    </row>
    <row r="72" spans="1:61">
      <c r="A72" s="912" t="s">
        <v>611</v>
      </c>
      <c r="B72" s="1598" t="s">
        <v>252</v>
      </c>
      <c r="C72" s="1608" t="s">
        <v>252</v>
      </c>
      <c r="D72" s="697">
        <v>9</v>
      </c>
      <c r="E72" s="1492">
        <v>8</v>
      </c>
      <c r="F72" s="697">
        <v>9</v>
      </c>
      <c r="G72" s="697">
        <v>17</v>
      </c>
      <c r="H72" s="697">
        <v>27</v>
      </c>
      <c r="I72" s="697">
        <v>19</v>
      </c>
      <c r="J72" s="697">
        <v>37</v>
      </c>
      <c r="K72" s="697">
        <v>10</v>
      </c>
      <c r="L72" s="697">
        <v>119</v>
      </c>
      <c r="M72" s="697">
        <v>11</v>
      </c>
      <c r="N72" s="697">
        <v>20</v>
      </c>
      <c r="O72" s="1036">
        <v>82</v>
      </c>
      <c r="P72" s="1501">
        <f t="shared" si="31"/>
        <v>368</v>
      </c>
      <c r="Q72" s="1366">
        <f t="shared" si="32"/>
        <v>0.17374881964117092</v>
      </c>
      <c r="R72" s="1345" t="s">
        <v>252</v>
      </c>
      <c r="S72" s="1366" t="s">
        <v>24</v>
      </c>
      <c r="T72" s="697">
        <v>14</v>
      </c>
      <c r="U72" s="1492">
        <v>12</v>
      </c>
      <c r="V72" s="697">
        <v>23</v>
      </c>
      <c r="W72" s="697">
        <v>23</v>
      </c>
      <c r="X72" s="697">
        <v>23</v>
      </c>
      <c r="Y72" s="697">
        <v>22</v>
      </c>
      <c r="Z72" s="697">
        <v>22</v>
      </c>
      <c r="AA72" s="697">
        <v>26</v>
      </c>
      <c r="AB72" s="697">
        <v>33</v>
      </c>
      <c r="AC72" s="697">
        <v>23</v>
      </c>
      <c r="AD72" s="697">
        <v>18</v>
      </c>
      <c r="AE72" s="1036">
        <v>26</v>
      </c>
      <c r="AF72" s="1501">
        <f t="shared" si="33"/>
        <v>265</v>
      </c>
      <c r="AG72" s="1366">
        <f t="shared" si="34"/>
        <v>0.18188057652711051</v>
      </c>
      <c r="AH72" s="1415">
        <v>20</v>
      </c>
      <c r="AI72" s="1412">
        <v>19</v>
      </c>
      <c r="AJ72" s="1064">
        <v>26</v>
      </c>
      <c r="AK72" s="1064">
        <v>13</v>
      </c>
      <c r="AL72" s="1064">
        <v>11</v>
      </c>
      <c r="AM72" s="1064">
        <v>15</v>
      </c>
      <c r="AN72" s="1064">
        <v>17</v>
      </c>
      <c r="AO72" s="1064">
        <v>11</v>
      </c>
      <c r="AP72" s="1064">
        <v>16</v>
      </c>
      <c r="AQ72" s="1064">
        <v>15</v>
      </c>
      <c r="AR72" s="1065">
        <v>18</v>
      </c>
      <c r="AS72" s="1063">
        <v>10</v>
      </c>
      <c r="AT72" s="1345">
        <f t="shared" si="35"/>
        <v>191</v>
      </c>
      <c r="AU72" s="1514">
        <f t="shared" si="30"/>
        <v>0.15267785771382894</v>
      </c>
      <c r="AV72" s="2957">
        <v>36</v>
      </c>
      <c r="AW72" s="1412">
        <v>19</v>
      </c>
      <c r="AX72" s="1064">
        <v>21</v>
      </c>
      <c r="AY72" s="1064">
        <v>18</v>
      </c>
      <c r="AZ72" s="1064">
        <v>32</v>
      </c>
      <c r="BA72" s="1064">
        <v>34</v>
      </c>
      <c r="BB72" s="1064">
        <v>27</v>
      </c>
      <c r="BC72" s="1064">
        <v>16</v>
      </c>
      <c r="BD72" s="1064">
        <v>24</v>
      </c>
      <c r="BE72" s="1064">
        <v>21</v>
      </c>
      <c r="BF72" s="1065">
        <v>20</v>
      </c>
      <c r="BG72" s="1063">
        <v>21</v>
      </c>
      <c r="BH72" s="1345">
        <v>289</v>
      </c>
      <c r="BI72" s="2065">
        <v>0.182</v>
      </c>
    </row>
    <row r="73" spans="1:61">
      <c r="A73" s="912" t="s">
        <v>612</v>
      </c>
      <c r="B73" s="1598" t="s">
        <v>252</v>
      </c>
      <c r="C73" s="1608" t="s">
        <v>252</v>
      </c>
      <c r="D73" s="697">
        <v>6</v>
      </c>
      <c r="E73" s="1492">
        <v>20</v>
      </c>
      <c r="F73" s="697">
        <v>5</v>
      </c>
      <c r="G73" s="697">
        <v>17</v>
      </c>
      <c r="H73" s="697">
        <v>26</v>
      </c>
      <c r="I73" s="697">
        <v>25</v>
      </c>
      <c r="J73" s="697">
        <v>41</v>
      </c>
      <c r="K73" s="697">
        <v>17</v>
      </c>
      <c r="L73" s="697">
        <v>182</v>
      </c>
      <c r="M73" s="697">
        <v>14</v>
      </c>
      <c r="N73" s="697">
        <v>22</v>
      </c>
      <c r="O73" s="1036">
        <v>95</v>
      </c>
      <c r="P73" s="1501">
        <f t="shared" si="31"/>
        <v>470</v>
      </c>
      <c r="Q73" s="1366">
        <f t="shared" si="32"/>
        <v>0.22190745986779981</v>
      </c>
      <c r="R73" s="1346" t="s">
        <v>252</v>
      </c>
      <c r="S73" s="1366" t="s">
        <v>24</v>
      </c>
      <c r="T73" s="697">
        <v>10</v>
      </c>
      <c r="U73" s="1492">
        <v>16</v>
      </c>
      <c r="V73" s="697">
        <v>28</v>
      </c>
      <c r="W73" s="697">
        <v>28</v>
      </c>
      <c r="X73" s="697">
        <v>19</v>
      </c>
      <c r="Y73" s="697">
        <v>33</v>
      </c>
      <c r="Z73" s="697">
        <v>21</v>
      </c>
      <c r="AA73" s="697">
        <v>17</v>
      </c>
      <c r="AB73" s="697">
        <v>20</v>
      </c>
      <c r="AC73" s="697">
        <v>15</v>
      </c>
      <c r="AD73" s="697">
        <v>25</v>
      </c>
      <c r="AE73" s="1036">
        <v>19</v>
      </c>
      <c r="AF73" s="1501">
        <f t="shared" si="33"/>
        <v>251</v>
      </c>
      <c r="AG73" s="1366">
        <f t="shared" si="34"/>
        <v>0.17227179135209333</v>
      </c>
      <c r="AH73" s="1415">
        <v>20</v>
      </c>
      <c r="AI73" s="1412">
        <v>24</v>
      </c>
      <c r="AJ73" s="1064">
        <v>18</v>
      </c>
      <c r="AK73" s="1064">
        <v>15</v>
      </c>
      <c r="AL73" s="1064">
        <v>25</v>
      </c>
      <c r="AM73" s="1064">
        <v>13</v>
      </c>
      <c r="AN73" s="1064">
        <v>13</v>
      </c>
      <c r="AO73" s="1064">
        <v>20</v>
      </c>
      <c r="AP73" s="1064">
        <v>11</v>
      </c>
      <c r="AQ73" s="1064">
        <v>16</v>
      </c>
      <c r="AR73" s="1065">
        <v>14</v>
      </c>
      <c r="AS73" s="1063">
        <v>24</v>
      </c>
      <c r="AT73" s="1346">
        <f t="shared" si="35"/>
        <v>213</v>
      </c>
      <c r="AU73" s="1514">
        <f t="shared" si="30"/>
        <v>0.17026378896882494</v>
      </c>
      <c r="AV73" s="2957">
        <v>19</v>
      </c>
      <c r="AW73" s="1412">
        <v>22</v>
      </c>
      <c r="AX73" s="1064">
        <v>23</v>
      </c>
      <c r="AY73" s="1064">
        <v>14</v>
      </c>
      <c r="AZ73" s="1064">
        <v>15</v>
      </c>
      <c r="BA73" s="1064">
        <v>21</v>
      </c>
      <c r="BB73" s="1064">
        <v>18</v>
      </c>
      <c r="BC73" s="1064">
        <v>10</v>
      </c>
      <c r="BD73" s="1064">
        <v>17</v>
      </c>
      <c r="BE73" s="1064">
        <v>21</v>
      </c>
      <c r="BF73" s="1065">
        <v>13</v>
      </c>
      <c r="BG73" s="1063">
        <v>18</v>
      </c>
      <c r="BH73" s="1346">
        <v>211</v>
      </c>
      <c r="BI73" s="2065">
        <v>0.13300000000000001</v>
      </c>
    </row>
    <row r="74" spans="1:61">
      <c r="A74" s="912" t="s">
        <v>613</v>
      </c>
      <c r="B74" s="1598" t="s">
        <v>252</v>
      </c>
      <c r="C74" s="1608" t="s">
        <v>252</v>
      </c>
      <c r="D74" s="697">
        <v>10</v>
      </c>
      <c r="E74" s="1492">
        <v>21</v>
      </c>
      <c r="F74" s="697">
        <v>9</v>
      </c>
      <c r="G74" s="697">
        <v>18</v>
      </c>
      <c r="H74" s="697">
        <v>17</v>
      </c>
      <c r="I74" s="697">
        <v>19</v>
      </c>
      <c r="J74" s="697">
        <v>30</v>
      </c>
      <c r="K74" s="697">
        <v>16</v>
      </c>
      <c r="L74" s="697">
        <v>219</v>
      </c>
      <c r="M74" s="697">
        <v>10</v>
      </c>
      <c r="N74" s="697">
        <v>17</v>
      </c>
      <c r="O74" s="1036">
        <v>89</v>
      </c>
      <c r="P74" s="1351">
        <f t="shared" si="31"/>
        <v>475</v>
      </c>
      <c r="Q74" s="1366">
        <f t="shared" si="32"/>
        <v>0.22426817752596789</v>
      </c>
      <c r="R74" s="1345" t="s">
        <v>252</v>
      </c>
      <c r="S74" s="1366" t="s">
        <v>24</v>
      </c>
      <c r="T74" s="697">
        <v>9</v>
      </c>
      <c r="U74" s="1492">
        <v>8</v>
      </c>
      <c r="V74" s="697">
        <v>15</v>
      </c>
      <c r="W74" s="697">
        <v>20</v>
      </c>
      <c r="X74" s="697">
        <v>15</v>
      </c>
      <c r="Y74" s="697">
        <v>30</v>
      </c>
      <c r="Z74" s="697">
        <v>17</v>
      </c>
      <c r="AA74" s="697">
        <v>20</v>
      </c>
      <c r="AB74" s="697">
        <v>16</v>
      </c>
      <c r="AC74" s="697">
        <v>10</v>
      </c>
      <c r="AD74" s="697">
        <v>14</v>
      </c>
      <c r="AE74" s="1036">
        <v>26</v>
      </c>
      <c r="AF74" s="1351">
        <f t="shared" si="33"/>
        <v>200</v>
      </c>
      <c r="AG74" s="1366">
        <f t="shared" si="34"/>
        <v>0.13726835964310227</v>
      </c>
      <c r="AH74" s="1415">
        <v>15</v>
      </c>
      <c r="AI74" s="1412">
        <v>22</v>
      </c>
      <c r="AJ74" s="1064">
        <v>16</v>
      </c>
      <c r="AK74" s="1064">
        <v>12</v>
      </c>
      <c r="AL74" s="1064">
        <v>11</v>
      </c>
      <c r="AM74" s="1064">
        <v>20</v>
      </c>
      <c r="AN74" s="1064">
        <v>15</v>
      </c>
      <c r="AO74" s="1064">
        <v>12</v>
      </c>
      <c r="AP74" s="1064">
        <v>11</v>
      </c>
      <c r="AQ74" s="1064">
        <v>13</v>
      </c>
      <c r="AR74" s="1065">
        <v>13</v>
      </c>
      <c r="AS74" s="1063">
        <v>22</v>
      </c>
      <c r="AT74" s="1345">
        <f t="shared" si="35"/>
        <v>182</v>
      </c>
      <c r="AU74" s="1514">
        <f t="shared" si="30"/>
        <v>0.14548361310951238</v>
      </c>
      <c r="AV74" s="2957">
        <v>10</v>
      </c>
      <c r="AW74" s="1412">
        <v>15</v>
      </c>
      <c r="AX74" s="1064">
        <v>26</v>
      </c>
      <c r="AY74" s="1064">
        <v>9</v>
      </c>
      <c r="AZ74" s="1064">
        <v>14</v>
      </c>
      <c r="BA74" s="1064">
        <v>17</v>
      </c>
      <c r="BB74" s="1064">
        <v>22</v>
      </c>
      <c r="BC74" s="1064">
        <v>18</v>
      </c>
      <c r="BD74" s="1064">
        <v>15</v>
      </c>
      <c r="BE74" s="1064">
        <v>11</v>
      </c>
      <c r="BF74" s="1065">
        <v>11</v>
      </c>
      <c r="BG74" s="1063">
        <v>12</v>
      </c>
      <c r="BH74" s="1345">
        <v>180</v>
      </c>
      <c r="BI74" s="2065">
        <v>0.113</v>
      </c>
    </row>
    <row r="75" spans="1:61" ht="12.6" thickBot="1">
      <c r="A75" s="911" t="s">
        <v>614</v>
      </c>
      <c r="B75" s="1601" t="s">
        <v>252</v>
      </c>
      <c r="C75" s="1609" t="s">
        <v>252</v>
      </c>
      <c r="D75" s="896">
        <v>1</v>
      </c>
      <c r="E75" s="895">
        <v>4</v>
      </c>
      <c r="F75" s="896">
        <v>0</v>
      </c>
      <c r="G75" s="896">
        <v>2</v>
      </c>
      <c r="H75" s="896">
        <v>5</v>
      </c>
      <c r="I75" s="896">
        <v>5</v>
      </c>
      <c r="J75" s="896">
        <v>4</v>
      </c>
      <c r="K75" s="896">
        <v>4</v>
      </c>
      <c r="L75" s="896">
        <v>68</v>
      </c>
      <c r="M75" s="896">
        <v>3</v>
      </c>
      <c r="N75" s="896">
        <v>2</v>
      </c>
      <c r="O75" s="1038">
        <v>13</v>
      </c>
      <c r="P75" s="1362">
        <f t="shared" si="31"/>
        <v>111</v>
      </c>
      <c r="Q75" s="1368">
        <f t="shared" si="32"/>
        <v>5.2407932011331447E-2</v>
      </c>
      <c r="R75" s="1347" t="s">
        <v>252</v>
      </c>
      <c r="S75" s="1378" t="s">
        <v>24</v>
      </c>
      <c r="T75" s="896">
        <v>1</v>
      </c>
      <c r="U75" s="895">
        <v>5</v>
      </c>
      <c r="V75" s="896">
        <v>4</v>
      </c>
      <c r="W75" s="896">
        <v>3</v>
      </c>
      <c r="X75" s="896">
        <v>9</v>
      </c>
      <c r="Y75" s="896">
        <v>4</v>
      </c>
      <c r="Z75" s="896">
        <v>7</v>
      </c>
      <c r="AA75" s="896">
        <v>24</v>
      </c>
      <c r="AB75" s="896">
        <v>4</v>
      </c>
      <c r="AC75" s="896">
        <v>4</v>
      </c>
      <c r="AD75" s="896">
        <v>4</v>
      </c>
      <c r="AE75" s="1038">
        <v>10</v>
      </c>
      <c r="AF75" s="1362">
        <f t="shared" si="33"/>
        <v>79</v>
      </c>
      <c r="AG75" s="1368">
        <f t="shared" si="34"/>
        <v>5.4221002059025393E-2</v>
      </c>
      <c r="AH75" s="1416">
        <v>2</v>
      </c>
      <c r="AI75" s="1413">
        <v>5</v>
      </c>
      <c r="AJ75" s="1061">
        <v>4</v>
      </c>
      <c r="AK75" s="1061">
        <v>4</v>
      </c>
      <c r="AL75" s="1061">
        <v>5</v>
      </c>
      <c r="AM75" s="1061">
        <v>2</v>
      </c>
      <c r="AN75" s="1061">
        <v>3</v>
      </c>
      <c r="AO75" s="1061">
        <v>3</v>
      </c>
      <c r="AP75" s="1061">
        <v>3</v>
      </c>
      <c r="AQ75" s="1061">
        <v>2</v>
      </c>
      <c r="AR75" s="1066">
        <v>2</v>
      </c>
      <c r="AS75" s="1060">
        <v>7</v>
      </c>
      <c r="AT75" s="1347">
        <f t="shared" si="35"/>
        <v>42</v>
      </c>
      <c r="AU75" s="2072">
        <f t="shared" si="30"/>
        <v>3.3573141486810551E-2</v>
      </c>
      <c r="AV75" s="2958">
        <v>7</v>
      </c>
      <c r="AW75" s="2959">
        <v>6</v>
      </c>
      <c r="AX75" s="1353">
        <v>1</v>
      </c>
      <c r="AY75" s="1353">
        <v>5</v>
      </c>
      <c r="AZ75" s="1353">
        <v>8</v>
      </c>
      <c r="BA75" s="1353">
        <v>5</v>
      </c>
      <c r="BB75" s="1353">
        <v>5</v>
      </c>
      <c r="BC75" s="1353">
        <v>6</v>
      </c>
      <c r="BD75" s="1353">
        <v>5</v>
      </c>
      <c r="BE75" s="1353">
        <v>7</v>
      </c>
      <c r="BF75" s="1406">
        <v>1</v>
      </c>
      <c r="BG75" s="1355">
        <v>4</v>
      </c>
      <c r="BH75" s="2069">
        <v>60</v>
      </c>
      <c r="BI75" s="1371">
        <v>3.7999999999999999E-2</v>
      </c>
    </row>
    <row r="76" spans="1:61">
      <c r="A76" s="699"/>
      <c r="B76" s="1442"/>
      <c r="C76" s="1442"/>
      <c r="D76" s="690"/>
      <c r="E76" s="690"/>
      <c r="F76" s="690"/>
      <c r="G76" s="690"/>
      <c r="H76" s="690"/>
      <c r="I76" s="690"/>
      <c r="J76" s="690"/>
      <c r="K76" s="690"/>
      <c r="L76" s="690"/>
      <c r="M76" s="690"/>
      <c r="N76" s="690"/>
      <c r="O76" s="690"/>
      <c r="P76" s="690"/>
      <c r="Q76" s="914"/>
      <c r="R76" s="690"/>
      <c r="S76" s="690"/>
      <c r="T76" s="690"/>
      <c r="U76" s="690"/>
      <c r="V76" s="690"/>
      <c r="W76" s="690"/>
      <c r="X76" s="690"/>
      <c r="Y76" s="690"/>
      <c r="Z76" s="690"/>
      <c r="AA76" s="690"/>
      <c r="AB76" s="690"/>
      <c r="AC76" s="690"/>
      <c r="AD76" s="690"/>
      <c r="AE76" s="690"/>
      <c r="AF76" s="690"/>
      <c r="AG76" s="914"/>
      <c r="AH76" s="690"/>
      <c r="AI76" s="690"/>
      <c r="AJ76" s="690"/>
      <c r="AK76" s="690"/>
      <c r="AL76" s="690"/>
      <c r="AM76" s="690"/>
      <c r="AN76" s="690"/>
      <c r="AO76" s="690"/>
      <c r="AP76" s="690"/>
      <c r="AQ76" s="690"/>
      <c r="AR76" s="690"/>
      <c r="AS76" s="690"/>
      <c r="AT76" s="690"/>
      <c r="AU76" s="690"/>
      <c r="AV76" s="690"/>
      <c r="AW76" s="690"/>
      <c r="AX76" s="690"/>
      <c r="AY76" s="690"/>
      <c r="AZ76" s="690"/>
      <c r="BA76" s="690"/>
      <c r="BB76" s="690"/>
      <c r="BC76" s="690"/>
      <c r="BD76" s="690"/>
      <c r="BE76" s="690"/>
      <c r="BF76" s="690"/>
      <c r="BG76" s="690"/>
      <c r="BH76" s="690"/>
      <c r="BI76" s="690"/>
    </row>
    <row r="77" spans="1:61" ht="12.6" thickBot="1">
      <c r="B77" s="1448"/>
      <c r="C77" s="1448"/>
    </row>
    <row r="78" spans="1:61" ht="15" customHeight="1" thickBot="1">
      <c r="B78" s="1442"/>
      <c r="C78" s="1479"/>
      <c r="D78" s="3751" t="s">
        <v>14</v>
      </c>
      <c r="E78" s="3752"/>
      <c r="F78" s="3752"/>
      <c r="G78" s="3752"/>
      <c r="H78" s="3752"/>
      <c r="I78" s="3752"/>
      <c r="J78" s="3752"/>
      <c r="K78" s="3752"/>
      <c r="L78" s="3752"/>
      <c r="M78" s="3752"/>
      <c r="N78" s="3752"/>
      <c r="O78" s="3752"/>
      <c r="P78" s="3752"/>
      <c r="Q78" s="3753"/>
      <c r="R78" s="3765" t="s">
        <v>15</v>
      </c>
      <c r="S78" s="3766"/>
      <c r="T78" s="3751" t="s">
        <v>16</v>
      </c>
      <c r="U78" s="3752"/>
      <c r="V78" s="3752"/>
      <c r="W78" s="3752"/>
      <c r="X78" s="3752"/>
      <c r="Y78" s="3752"/>
      <c r="Z78" s="3752"/>
      <c r="AA78" s="3752"/>
      <c r="AB78" s="3752"/>
      <c r="AC78" s="3752"/>
      <c r="AD78" s="3752"/>
      <c r="AE78" s="3752"/>
      <c r="AF78" s="3752"/>
      <c r="AG78" s="3753"/>
      <c r="AH78" s="3754" t="s">
        <v>163</v>
      </c>
      <c r="AI78" s="3755"/>
      <c r="AJ78" s="3755"/>
      <c r="AK78" s="3755"/>
      <c r="AL78" s="3755"/>
      <c r="AM78" s="3755"/>
      <c r="AN78" s="3755"/>
      <c r="AO78" s="3755"/>
      <c r="AP78" s="3755"/>
      <c r="AQ78" s="3755"/>
      <c r="AR78" s="3755"/>
      <c r="AS78" s="3755"/>
      <c r="AT78" s="3755"/>
      <c r="AU78" s="3756"/>
      <c r="AV78" s="3764" t="s">
        <v>164</v>
      </c>
      <c r="AW78" s="3765"/>
      <c r="AX78" s="3765"/>
      <c r="AY78" s="3765"/>
      <c r="AZ78" s="3765"/>
      <c r="BA78" s="3765"/>
      <c r="BB78" s="3765"/>
      <c r="BC78" s="3765"/>
      <c r="BD78" s="3765"/>
      <c r="BE78" s="3765"/>
      <c r="BF78" s="3765"/>
      <c r="BG78" s="3765"/>
      <c r="BH78" s="3765"/>
      <c r="BI78" s="3766"/>
    </row>
    <row r="79" spans="1:61" ht="15" customHeight="1" thickBot="1">
      <c r="A79" s="909" t="s">
        <v>621</v>
      </c>
      <c r="B79" s="1449" t="s">
        <v>607</v>
      </c>
      <c r="C79" s="1443" t="s">
        <v>607</v>
      </c>
      <c r="D79" s="1462">
        <v>43951</v>
      </c>
      <c r="E79" s="1463">
        <v>43982</v>
      </c>
      <c r="F79" s="1462">
        <v>44012</v>
      </c>
      <c r="G79" s="1463">
        <v>44043</v>
      </c>
      <c r="H79" s="1464">
        <v>44074</v>
      </c>
      <c r="I79" s="1463">
        <v>44104</v>
      </c>
      <c r="J79" s="1462">
        <v>44135</v>
      </c>
      <c r="K79" s="1463">
        <v>44165</v>
      </c>
      <c r="L79" s="1462">
        <v>44196</v>
      </c>
      <c r="M79" s="1463">
        <v>44227</v>
      </c>
      <c r="N79" s="1462">
        <v>44255</v>
      </c>
      <c r="O79" s="1462">
        <v>44286</v>
      </c>
      <c r="P79" s="3740" t="s">
        <v>622</v>
      </c>
      <c r="Q79" s="3757" t="s">
        <v>296</v>
      </c>
      <c r="R79" s="3740" t="s">
        <v>622</v>
      </c>
      <c r="S79" s="3741"/>
      <c r="T79" s="1462">
        <v>44652</v>
      </c>
      <c r="U79" s="1463">
        <v>44682</v>
      </c>
      <c r="V79" s="1462">
        <v>44713</v>
      </c>
      <c r="W79" s="1463">
        <v>44743</v>
      </c>
      <c r="X79" s="1464">
        <v>44774</v>
      </c>
      <c r="Y79" s="1463">
        <v>44805</v>
      </c>
      <c r="Z79" s="1462">
        <v>44835</v>
      </c>
      <c r="AA79" s="1463">
        <v>44866</v>
      </c>
      <c r="AB79" s="1462">
        <v>44896</v>
      </c>
      <c r="AC79" s="1463">
        <v>44927</v>
      </c>
      <c r="AD79" s="1462">
        <v>44958</v>
      </c>
      <c r="AE79" s="1462">
        <v>44986</v>
      </c>
      <c r="AF79" s="3740" t="s">
        <v>622</v>
      </c>
      <c r="AG79" s="3757"/>
      <c r="AH79" s="908">
        <v>45030</v>
      </c>
      <c r="AI79" s="908">
        <v>45062</v>
      </c>
      <c r="AJ79" s="907">
        <v>45094</v>
      </c>
      <c r="AK79" s="908">
        <v>45126</v>
      </c>
      <c r="AL79" s="907">
        <v>45158</v>
      </c>
      <c r="AM79" s="908">
        <v>45190</v>
      </c>
      <c r="AN79" s="907">
        <v>45222</v>
      </c>
      <c r="AO79" s="908">
        <v>45254</v>
      </c>
      <c r="AP79" s="907">
        <v>45286</v>
      </c>
      <c r="AQ79" s="908">
        <v>45318</v>
      </c>
      <c r="AR79" s="907">
        <v>45350</v>
      </c>
      <c r="AS79" s="908">
        <v>45382</v>
      </c>
      <c r="AT79" s="3740" t="s">
        <v>622</v>
      </c>
      <c r="AU79" s="3741"/>
      <c r="AV79" s="2056">
        <v>45396</v>
      </c>
      <c r="AW79" s="2057">
        <v>45428</v>
      </c>
      <c r="AX79" s="2056">
        <v>45460</v>
      </c>
      <c r="AY79" s="2056">
        <v>45492</v>
      </c>
      <c r="AZ79" s="2057">
        <v>45524</v>
      </c>
      <c r="BA79" s="2056">
        <v>45556</v>
      </c>
      <c r="BB79" s="2056">
        <v>45588</v>
      </c>
      <c r="BC79" s="2057">
        <v>45620</v>
      </c>
      <c r="BD79" s="2056">
        <v>45652</v>
      </c>
      <c r="BE79" s="2056">
        <v>45684</v>
      </c>
      <c r="BF79" s="2057">
        <v>45716</v>
      </c>
      <c r="BG79" s="1434">
        <v>45717</v>
      </c>
      <c r="BH79" s="3770" t="s">
        <v>622</v>
      </c>
      <c r="BI79" s="3771"/>
    </row>
    <row r="80" spans="1:61" ht="14.25" customHeight="1">
      <c r="A80" s="910" t="s">
        <v>251</v>
      </c>
      <c r="B80" s="1602" t="s">
        <v>252</v>
      </c>
      <c r="C80" s="1598" t="s">
        <v>252</v>
      </c>
      <c r="D80" s="1403">
        <f t="shared" ref="D80:O80" si="36">IFERROR(D56/D6,0)</f>
        <v>7.0615034168564923E-3</v>
      </c>
      <c r="E80" s="1098">
        <f t="shared" si="36"/>
        <v>1.2924071082390954E-2</v>
      </c>
      <c r="F80" s="1098">
        <f t="shared" si="36"/>
        <v>5.3265400648448355E-3</v>
      </c>
      <c r="G80" s="1098">
        <f t="shared" si="36"/>
        <v>1.3576779026217229E-2</v>
      </c>
      <c r="H80" s="1097">
        <f t="shared" si="36"/>
        <v>1.762324362943558E-2</v>
      </c>
      <c r="I80" s="1098">
        <f t="shared" si="36"/>
        <v>1.6003879728419011E-2</v>
      </c>
      <c r="J80" s="1098">
        <f t="shared" si="36"/>
        <v>2.2900763358778626E-2</v>
      </c>
      <c r="K80" s="1098">
        <f t="shared" si="36"/>
        <v>1.2320844857933116E-2</v>
      </c>
      <c r="L80" s="1097">
        <f t="shared" si="36"/>
        <v>0.13113367174280879</v>
      </c>
      <c r="M80" s="1098">
        <f t="shared" si="36"/>
        <v>1.2395503026808878E-2</v>
      </c>
      <c r="N80" s="1098">
        <f t="shared" si="36"/>
        <v>1.486013986013986E-2</v>
      </c>
      <c r="O80" s="1471">
        <f t="shared" si="36"/>
        <v>7.8304386223138067E-2</v>
      </c>
      <c r="P80" s="3742">
        <f>P56/P6</f>
        <v>0.32198324845321774</v>
      </c>
      <c r="Q80" s="3758"/>
      <c r="R80" s="3742" t="s">
        <v>252</v>
      </c>
      <c r="S80" s="3743"/>
      <c r="T80" s="1403">
        <f t="shared" ref="T80:AE80" si="37">IFERROR(T56/T6,0)</f>
        <v>2.0103563813585135E-2</v>
      </c>
      <c r="U80" s="1098">
        <f t="shared" si="37"/>
        <v>1.562944018186985E-2</v>
      </c>
      <c r="V80" s="1098">
        <f t="shared" si="37"/>
        <v>1.9469983775013522E-2</v>
      </c>
      <c r="W80" s="1098">
        <f t="shared" si="37"/>
        <v>2.2436733629011218E-2</v>
      </c>
      <c r="X80" s="1097">
        <f t="shared" si="37"/>
        <v>2.5719378660555132E-2</v>
      </c>
      <c r="Y80" s="1098">
        <f t="shared" si="37"/>
        <v>3.6550836550836553E-2</v>
      </c>
      <c r="Z80" s="1098">
        <f t="shared" si="37"/>
        <v>2.1497218007081438E-2</v>
      </c>
      <c r="AA80" s="1098">
        <f t="shared" si="37"/>
        <v>2.0204539785482666E-2</v>
      </c>
      <c r="AB80" s="1097">
        <f t="shared" si="37"/>
        <v>2.0239880059970013E-2</v>
      </c>
      <c r="AC80" s="1098">
        <f t="shared" si="37"/>
        <v>1.596659297469909E-2</v>
      </c>
      <c r="AD80" s="1098">
        <f t="shared" si="37"/>
        <v>1.4813016027197669E-2</v>
      </c>
      <c r="AE80" s="1471">
        <f t="shared" si="37"/>
        <v>2.2412970910824989E-2</v>
      </c>
      <c r="AF80" s="3742">
        <f>(AF56/AF6)</f>
        <v>0.25526423332544684</v>
      </c>
      <c r="AG80" s="3758"/>
      <c r="AH80" s="1404">
        <f t="shared" ref="AH80:AS80" si="38">IFERROR(AH56/AH6,0)</f>
        <v>1.7515179822512845E-2</v>
      </c>
      <c r="AI80" s="1403">
        <f t="shared" si="38"/>
        <v>1.8127581459385041E-2</v>
      </c>
      <c r="AJ80" s="1098">
        <f t="shared" si="38"/>
        <v>2.0338208409506398E-2</v>
      </c>
      <c r="AK80" s="1097">
        <f t="shared" si="38"/>
        <v>1.4629754670267838E-2</v>
      </c>
      <c r="AL80" s="1098">
        <f t="shared" si="38"/>
        <v>1.8189984280260498E-2</v>
      </c>
      <c r="AM80" s="1098">
        <f t="shared" si="38"/>
        <v>1.8855218855218854E-2</v>
      </c>
      <c r="AN80" s="1098">
        <f t="shared" si="38"/>
        <v>1.5060908084163898E-2</v>
      </c>
      <c r="AO80" s="1097">
        <f t="shared" si="38"/>
        <v>1.2486308871851041E-2</v>
      </c>
      <c r="AP80" s="1098">
        <f t="shared" si="38"/>
        <v>1.2797881729920565E-2</v>
      </c>
      <c r="AQ80" s="1098">
        <f t="shared" si="38"/>
        <v>1.462882096069869E-2</v>
      </c>
      <c r="AR80" s="1098">
        <f t="shared" si="38"/>
        <v>1.355713363460297E-2</v>
      </c>
      <c r="AS80" s="1403">
        <f t="shared" si="38"/>
        <v>1.6115351993214587E-2</v>
      </c>
      <c r="AT80" s="3742">
        <f>(AT56/AT6)</f>
        <v>0.19183264715700457</v>
      </c>
      <c r="AU80" s="3743"/>
      <c r="AV80" s="2974">
        <v>1.49E-2</v>
      </c>
      <c r="AW80" s="2975">
        <v>1.84E-2</v>
      </c>
      <c r="AX80" s="2976">
        <v>1.4500000000000001E-2</v>
      </c>
      <c r="AY80" s="2977">
        <v>1.44E-2</v>
      </c>
      <c r="AZ80" s="2976">
        <v>2.1399999999999999E-2</v>
      </c>
      <c r="BA80" s="2976">
        <v>1.9099999999999999E-2</v>
      </c>
      <c r="BB80" s="2976">
        <v>1.9E-2</v>
      </c>
      <c r="BC80" s="2977">
        <v>1.14E-2</v>
      </c>
      <c r="BD80" s="2976">
        <v>1.37E-2</v>
      </c>
      <c r="BE80" s="2976">
        <v>1.38E-2</v>
      </c>
      <c r="BF80" s="2976">
        <v>1.03E-2</v>
      </c>
      <c r="BG80" s="2975">
        <v>1.0500000000000001E-2</v>
      </c>
      <c r="BH80" s="3742">
        <v>0.18099999999999999</v>
      </c>
      <c r="BI80" s="3743"/>
    </row>
    <row r="81" spans="1:62" ht="14.65" customHeight="1" thickBot="1">
      <c r="A81" s="911" t="s">
        <v>253</v>
      </c>
      <c r="B81" s="1596" t="s">
        <v>252</v>
      </c>
      <c r="C81" s="1601" t="s">
        <v>252</v>
      </c>
      <c r="D81" s="1468">
        <f t="shared" ref="D81:O81" si="39">IFERROR(D57/D7,0)</f>
        <v>5.8320373250388803E-3</v>
      </c>
      <c r="E81" s="1467">
        <f t="shared" si="39"/>
        <v>1.6192733017377565E-2</v>
      </c>
      <c r="F81" s="1467">
        <f t="shared" si="39"/>
        <v>5.1546391752577319E-3</v>
      </c>
      <c r="G81" s="1467">
        <f t="shared" si="39"/>
        <v>1.4823717948717948E-2</v>
      </c>
      <c r="H81" s="1467">
        <f t="shared" si="39"/>
        <v>1.5924867292772562E-2</v>
      </c>
      <c r="I81" s="1467">
        <f t="shared" si="39"/>
        <v>1.7054908485856904E-2</v>
      </c>
      <c r="J81" s="1467">
        <f t="shared" si="39"/>
        <v>3.6770921386305999E-2</v>
      </c>
      <c r="K81" s="1467">
        <f t="shared" si="39"/>
        <v>1.2232415902140673E-2</v>
      </c>
      <c r="L81" s="1467">
        <f t="shared" si="39"/>
        <v>0.17707267144319344</v>
      </c>
      <c r="M81" s="1467">
        <f t="shared" si="39"/>
        <v>1.1434511434511435E-2</v>
      </c>
      <c r="N81" s="1467">
        <f t="shared" si="39"/>
        <v>2.7287319422150885E-2</v>
      </c>
      <c r="O81" s="1472">
        <f t="shared" si="39"/>
        <v>6.6343042071197414E-2</v>
      </c>
      <c r="P81" s="3736">
        <f>P57/P7</f>
        <v>0.37148837721714223</v>
      </c>
      <c r="Q81" s="3763"/>
      <c r="R81" s="3736" t="s">
        <v>252</v>
      </c>
      <c r="S81" s="3737"/>
      <c r="T81" s="1468">
        <f t="shared" ref="T81:AE81" si="40">IFERROR(T57/T7,0)</f>
        <v>1.6201117318435754E-2</v>
      </c>
      <c r="U81" s="1467">
        <f t="shared" si="40"/>
        <v>1.6922263352723427E-2</v>
      </c>
      <c r="V81" s="1467">
        <f t="shared" si="40"/>
        <v>2.1882951653944022E-2</v>
      </c>
      <c r="W81" s="1467">
        <f t="shared" si="40"/>
        <v>2.3738872403560832E-2</v>
      </c>
      <c r="X81" s="1467">
        <f t="shared" si="40"/>
        <v>2.1140609636184856E-2</v>
      </c>
      <c r="Y81" s="1467">
        <f t="shared" si="40"/>
        <v>3.1080414405525406E-2</v>
      </c>
      <c r="Z81" s="1467">
        <f t="shared" si="40"/>
        <v>1.6464891041162229E-2</v>
      </c>
      <c r="AA81" s="1467">
        <f t="shared" si="40"/>
        <v>1.5245354930919485E-2</v>
      </c>
      <c r="AB81" s="1467">
        <f t="shared" si="40"/>
        <v>2.0554493307839389E-2</v>
      </c>
      <c r="AC81" s="1467">
        <f t="shared" si="40"/>
        <v>1.4398513701811427E-2</v>
      </c>
      <c r="AD81" s="1467">
        <f t="shared" si="40"/>
        <v>1.646090534979424E-2</v>
      </c>
      <c r="AE81" s="1472">
        <f t="shared" si="40"/>
        <v>1.9873532068654019E-2</v>
      </c>
      <c r="AF81" s="3736">
        <f>(AF57/AF7)</f>
        <v>0.23375035657524756</v>
      </c>
      <c r="AG81" s="3763"/>
      <c r="AH81" s="1468">
        <f t="shared" ref="AH81:AS81" si="41">IFERROR(AH57/AH7,0)</f>
        <v>1.2296881862099254E-2</v>
      </c>
      <c r="AI81" s="1468">
        <f t="shared" si="41"/>
        <v>1.2220817530552043E-2</v>
      </c>
      <c r="AJ81" s="1467">
        <f t="shared" si="41"/>
        <v>1.7012448132780082E-2</v>
      </c>
      <c r="AK81" s="1467">
        <f t="shared" si="41"/>
        <v>1.4913341394598953E-2</v>
      </c>
      <c r="AL81" s="1467">
        <f t="shared" si="41"/>
        <v>1.4028056112224449E-2</v>
      </c>
      <c r="AM81" s="1467">
        <f t="shared" si="41"/>
        <v>2.0056157240272765E-2</v>
      </c>
      <c r="AN81" s="1467">
        <f t="shared" si="41"/>
        <v>1.8239492466296591E-2</v>
      </c>
      <c r="AO81" s="1467">
        <f t="shared" si="41"/>
        <v>1.3291634089132134E-2</v>
      </c>
      <c r="AP81" s="1467">
        <f t="shared" si="41"/>
        <v>1.1806375442739079E-2</v>
      </c>
      <c r="AQ81" s="1467">
        <f t="shared" si="41"/>
        <v>1.1188271604938271E-2</v>
      </c>
      <c r="AR81" s="1467">
        <f t="shared" si="41"/>
        <v>1.1872845653006512E-2</v>
      </c>
      <c r="AS81" s="1468">
        <f t="shared" si="41"/>
        <v>1.7032551097653292E-2</v>
      </c>
      <c r="AT81" s="3736">
        <f>(AT57/AT7)</f>
        <v>0.17402900483413902</v>
      </c>
      <c r="AU81" s="3737"/>
      <c r="AV81" s="2978">
        <v>0.02</v>
      </c>
      <c r="AW81" s="2978">
        <v>1.6799999999999999E-2</v>
      </c>
      <c r="AX81" s="2979">
        <v>2.2800000000000001E-2</v>
      </c>
      <c r="AY81" s="2979">
        <v>1.61E-2</v>
      </c>
      <c r="AZ81" s="2979">
        <v>2.12E-2</v>
      </c>
      <c r="BA81" s="2979">
        <v>2.3199999999999998E-2</v>
      </c>
      <c r="BB81" s="2979">
        <v>2.4799999999999999E-2</v>
      </c>
      <c r="BC81" s="2979">
        <v>1.2999999999999999E-2</v>
      </c>
      <c r="BD81" s="2979">
        <v>1.24E-2</v>
      </c>
      <c r="BE81" s="2979">
        <v>1.38E-2</v>
      </c>
      <c r="BF81" s="2979">
        <v>1.1599999999999999E-2</v>
      </c>
      <c r="BG81" s="2978">
        <v>1.17E-2</v>
      </c>
      <c r="BH81" s="3736">
        <v>0.20599999999999999</v>
      </c>
      <c r="BI81" s="3737"/>
    </row>
    <row r="82" spans="1:62">
      <c r="A82" s="699"/>
      <c r="B82" s="1442"/>
      <c r="C82" s="1442"/>
      <c r="D82" s="690"/>
      <c r="E82" s="690"/>
      <c r="F82" s="690"/>
      <c r="G82" s="690"/>
      <c r="H82" s="690"/>
      <c r="I82" s="690"/>
      <c r="J82" s="690"/>
      <c r="K82" s="690"/>
      <c r="L82" s="690"/>
      <c r="M82" s="690"/>
      <c r="N82" s="690"/>
      <c r="O82" s="690"/>
      <c r="P82" s="690"/>
      <c r="Q82" s="690"/>
      <c r="R82" s="690"/>
      <c r="S82" s="690"/>
      <c r="T82" s="690"/>
      <c r="U82" s="690"/>
      <c r="V82" s="690"/>
      <c r="W82" s="690"/>
      <c r="X82" s="690"/>
      <c r="Y82" s="690"/>
      <c r="Z82" s="690"/>
      <c r="AA82" s="690"/>
      <c r="AB82" s="690"/>
      <c r="AC82" s="690"/>
      <c r="AD82" s="690"/>
      <c r="AE82" s="690"/>
      <c r="AF82" s="690"/>
      <c r="AG82" s="690"/>
      <c r="AH82" s="690"/>
      <c r="AI82" s="690"/>
      <c r="AJ82" s="690"/>
      <c r="AK82" s="690"/>
      <c r="AL82" s="690"/>
      <c r="AM82" s="690"/>
      <c r="AN82" s="690"/>
      <c r="AO82" s="690"/>
      <c r="AP82" s="690"/>
      <c r="AQ82" s="690"/>
      <c r="AR82" s="690"/>
      <c r="AS82" s="690"/>
      <c r="AT82" s="690"/>
      <c r="AU82" s="690"/>
      <c r="AV82" s="690"/>
      <c r="AW82" s="690"/>
      <c r="AX82" s="690"/>
      <c r="AY82" s="690"/>
      <c r="AZ82" s="690"/>
      <c r="BA82" s="690"/>
      <c r="BB82" s="690"/>
      <c r="BC82" s="690"/>
      <c r="BD82" s="690"/>
      <c r="BE82" s="690"/>
      <c r="BF82" s="690"/>
      <c r="BG82" s="690"/>
      <c r="BH82" s="690"/>
      <c r="BI82" s="690"/>
    </row>
    <row r="83" spans="1:62" ht="15" customHeight="1">
      <c r="A83" s="909" t="s">
        <v>621</v>
      </c>
      <c r="B83" s="1443" t="s">
        <v>607</v>
      </c>
      <c r="C83" s="1478" t="s">
        <v>607</v>
      </c>
      <c r="D83" s="1462">
        <v>43951</v>
      </c>
      <c r="E83" s="1463">
        <v>43982</v>
      </c>
      <c r="F83" s="1462">
        <v>44012</v>
      </c>
      <c r="G83" s="1463">
        <v>44043</v>
      </c>
      <c r="H83" s="1464">
        <v>44074</v>
      </c>
      <c r="I83" s="1463">
        <v>44104</v>
      </c>
      <c r="J83" s="1462">
        <v>44135</v>
      </c>
      <c r="K83" s="1463">
        <v>44165</v>
      </c>
      <c r="L83" s="1462">
        <v>44196</v>
      </c>
      <c r="M83" s="1463">
        <v>44227</v>
      </c>
      <c r="N83" s="1462">
        <v>44255</v>
      </c>
      <c r="O83" s="1462">
        <v>44286</v>
      </c>
      <c r="P83" s="3740" t="s">
        <v>622</v>
      </c>
      <c r="Q83" s="3741"/>
      <c r="R83" s="3740" t="s">
        <v>622</v>
      </c>
      <c r="S83" s="3741"/>
      <c r="T83" s="1462">
        <v>44652</v>
      </c>
      <c r="U83" s="1463">
        <v>44682</v>
      </c>
      <c r="V83" s="1462">
        <v>44713</v>
      </c>
      <c r="W83" s="1463">
        <v>44743</v>
      </c>
      <c r="X83" s="1464">
        <v>44774</v>
      </c>
      <c r="Y83" s="1463">
        <v>44805</v>
      </c>
      <c r="Z83" s="1462">
        <v>44835</v>
      </c>
      <c r="AA83" s="1463">
        <v>44866</v>
      </c>
      <c r="AB83" s="1462">
        <v>44896</v>
      </c>
      <c r="AC83" s="1463">
        <v>44927</v>
      </c>
      <c r="AD83" s="1462">
        <v>44958</v>
      </c>
      <c r="AE83" s="1462">
        <v>44986</v>
      </c>
      <c r="AF83" s="3740" t="s">
        <v>622</v>
      </c>
      <c r="AG83" s="3741"/>
      <c r="AH83" s="908">
        <v>45030</v>
      </c>
      <c r="AI83" s="908">
        <v>45062</v>
      </c>
      <c r="AJ83" s="907">
        <v>45094</v>
      </c>
      <c r="AK83" s="908">
        <v>45126</v>
      </c>
      <c r="AL83" s="907">
        <v>45158</v>
      </c>
      <c r="AM83" s="908">
        <v>45190</v>
      </c>
      <c r="AN83" s="907">
        <v>45222</v>
      </c>
      <c r="AO83" s="908">
        <v>45254</v>
      </c>
      <c r="AP83" s="907">
        <v>45286</v>
      </c>
      <c r="AQ83" s="908">
        <v>45318</v>
      </c>
      <c r="AR83" s="907">
        <v>45350</v>
      </c>
      <c r="AS83" s="1473">
        <v>45382</v>
      </c>
      <c r="AT83" s="3740" t="s">
        <v>622</v>
      </c>
      <c r="AU83" s="3741"/>
      <c r="AV83" s="2061">
        <v>45396</v>
      </c>
      <c r="AW83" s="908">
        <v>45428</v>
      </c>
      <c r="AX83" s="907">
        <v>45460</v>
      </c>
      <c r="AY83" s="907">
        <v>45492</v>
      </c>
      <c r="AZ83" s="908">
        <v>45524</v>
      </c>
      <c r="BA83" s="907">
        <v>45556</v>
      </c>
      <c r="BB83" s="907">
        <v>45588</v>
      </c>
      <c r="BC83" s="908">
        <v>45620</v>
      </c>
      <c r="BD83" s="907">
        <v>45652</v>
      </c>
      <c r="BE83" s="907">
        <v>45684</v>
      </c>
      <c r="BF83" s="908">
        <v>45716</v>
      </c>
      <c r="BG83" s="1434">
        <v>45717</v>
      </c>
      <c r="BH83" s="3740" t="s">
        <v>622</v>
      </c>
      <c r="BI83" s="3741"/>
    </row>
    <row r="84" spans="1:62" ht="14.25" customHeight="1">
      <c r="A84" s="910" t="s">
        <v>274</v>
      </c>
      <c r="B84" s="1598" t="s">
        <v>252</v>
      </c>
      <c r="C84" s="1610" t="s">
        <v>252</v>
      </c>
      <c r="D84" s="1403">
        <f t="shared" ref="D84:O84" si="42">IFERROR(D60/D10,0)</f>
        <v>4.3541364296081275E-3</v>
      </c>
      <c r="E84" s="1097">
        <f t="shared" si="42"/>
        <v>2.6785714285714284E-2</v>
      </c>
      <c r="F84" s="1097">
        <f t="shared" si="42"/>
        <v>1.4903129657228018E-3</v>
      </c>
      <c r="G84" s="1097">
        <f t="shared" si="42"/>
        <v>1.8099547511312219E-2</v>
      </c>
      <c r="H84" s="1097">
        <f t="shared" si="42"/>
        <v>1.3888888888888888E-2</v>
      </c>
      <c r="I84" s="1098">
        <f t="shared" si="42"/>
        <v>4.0064102564102567E-2</v>
      </c>
      <c r="J84" s="1098">
        <f t="shared" si="42"/>
        <v>2.6016260162601626E-2</v>
      </c>
      <c r="K84" s="1097">
        <f t="shared" si="42"/>
        <v>4.957264957264957E-2</v>
      </c>
      <c r="L84" s="1097">
        <f t="shared" si="42"/>
        <v>3.2258064516129031E-2</v>
      </c>
      <c r="M84" s="1097">
        <f t="shared" si="42"/>
        <v>5.415162454873646E-3</v>
      </c>
      <c r="N84" s="1097">
        <f t="shared" si="42"/>
        <v>5.2816901408450703E-3</v>
      </c>
      <c r="O84" s="1471">
        <f t="shared" si="42"/>
        <v>2.972027972027972E-2</v>
      </c>
      <c r="P84" s="3742">
        <f>P60/P10</f>
        <v>0.24909017387788113</v>
      </c>
      <c r="Q84" s="3743"/>
      <c r="R84" s="3742" t="s">
        <v>252</v>
      </c>
      <c r="S84" s="3743"/>
      <c r="T84" s="1403">
        <f t="shared" ref="T84:AF84" si="43">IFERROR(T60/T10,0)</f>
        <v>1.3888888888888888E-2</v>
      </c>
      <c r="U84" s="1097">
        <f t="shared" si="43"/>
        <v>1.8121911037891267E-2</v>
      </c>
      <c r="V84" s="1097">
        <f t="shared" si="43"/>
        <v>2.8213166144200628E-2</v>
      </c>
      <c r="W84" s="1097">
        <f t="shared" si="43"/>
        <v>1.9696969696969695E-2</v>
      </c>
      <c r="X84" s="1097">
        <f t="shared" si="43"/>
        <v>1.6491754122938532E-2</v>
      </c>
      <c r="Y84" s="1098">
        <f t="shared" si="43"/>
        <v>3.0441400304414001E-2</v>
      </c>
      <c r="Z84" s="1098">
        <f t="shared" si="43"/>
        <v>2.2865853658536585E-2</v>
      </c>
      <c r="AA84" s="1097">
        <f t="shared" si="43"/>
        <v>1.2066365007541479E-2</v>
      </c>
      <c r="AB84" s="1097">
        <f t="shared" si="43"/>
        <v>5.9970014992503746E-3</v>
      </c>
      <c r="AC84" s="1097">
        <f t="shared" si="43"/>
        <v>8.6455331412103754E-3</v>
      </c>
      <c r="AD84" s="1097">
        <f t="shared" si="43"/>
        <v>1.9553072625698324E-2</v>
      </c>
      <c r="AE84" s="1471">
        <f t="shared" si="43"/>
        <v>1.7426273458445041E-2</v>
      </c>
      <c r="AF84" s="3742">
        <f t="shared" si="43"/>
        <v>0.21291053227633069</v>
      </c>
      <c r="AG84" s="3743"/>
      <c r="AH84" s="1404">
        <f t="shared" ref="AH84:AT84" si="44">IFERROR(AH60/AH10,0)</f>
        <v>2.2784810126582278E-2</v>
      </c>
      <c r="AI84" s="1404">
        <f t="shared" si="44"/>
        <v>2.75E-2</v>
      </c>
      <c r="AJ84" s="1097">
        <f t="shared" si="44"/>
        <v>2.7568922305764409E-2</v>
      </c>
      <c r="AK84" s="1097">
        <f t="shared" si="44"/>
        <v>2.2443890274314215E-2</v>
      </c>
      <c r="AL84" s="1097">
        <f t="shared" si="44"/>
        <v>2.0050125313283207E-2</v>
      </c>
      <c r="AM84" s="1098">
        <f t="shared" si="44"/>
        <v>1.6455696202531647E-2</v>
      </c>
      <c r="AN84" s="1098">
        <f t="shared" si="44"/>
        <v>1.5018773466833541E-2</v>
      </c>
      <c r="AO84" s="1097">
        <f t="shared" si="44"/>
        <v>1.7543859649122806E-2</v>
      </c>
      <c r="AP84" s="1097">
        <f t="shared" si="44"/>
        <v>1.1292346298619825E-2</v>
      </c>
      <c r="AQ84" s="1097">
        <f t="shared" si="44"/>
        <v>1.6229712858926344E-2</v>
      </c>
      <c r="AR84" s="1097">
        <f t="shared" si="44"/>
        <v>1.5719467956469165E-2</v>
      </c>
      <c r="AS84" s="1474">
        <f t="shared" si="44"/>
        <v>1.884570082449941E-2</v>
      </c>
      <c r="AT84" s="3742">
        <f t="shared" si="44"/>
        <v>0.23131930770027981</v>
      </c>
      <c r="AU84" s="3743"/>
      <c r="AV84" s="2974">
        <v>1.2E-2</v>
      </c>
      <c r="AW84" s="2974">
        <v>2.4E-2</v>
      </c>
      <c r="AX84" s="2977">
        <v>2.0500000000000001E-2</v>
      </c>
      <c r="AY84" s="2977">
        <v>1.4200000000000001E-2</v>
      </c>
      <c r="AZ84" s="2977">
        <v>1.55E-2</v>
      </c>
      <c r="BA84" s="2976">
        <v>2.06E-2</v>
      </c>
      <c r="BB84" s="2976">
        <v>1.47E-2</v>
      </c>
      <c r="BC84" s="2977">
        <v>1.4800000000000001E-2</v>
      </c>
      <c r="BD84" s="2977">
        <v>1.37E-2</v>
      </c>
      <c r="BE84" s="2977">
        <v>6.1000000000000004E-3</v>
      </c>
      <c r="BF84" s="2977">
        <v>1.18E-2</v>
      </c>
      <c r="BG84" s="2980">
        <v>1.4200000000000001E-2</v>
      </c>
      <c r="BH84" s="3774">
        <v>0.182</v>
      </c>
      <c r="BI84" s="3775"/>
      <c r="BJ84" s="2060"/>
    </row>
    <row r="85" spans="1:62">
      <c r="A85" s="912" t="s">
        <v>278</v>
      </c>
      <c r="B85" s="1598" t="s">
        <v>252</v>
      </c>
      <c r="C85" s="1610" t="s">
        <v>252</v>
      </c>
      <c r="D85" s="1405">
        <f t="shared" ref="D85:O85" si="45">IFERROR(D61/D11,0)</f>
        <v>5.4225033890646186E-3</v>
      </c>
      <c r="E85" s="1099">
        <f t="shared" si="45"/>
        <v>1.4220183486238533E-2</v>
      </c>
      <c r="F85" s="1099">
        <f t="shared" si="45"/>
        <v>5.0644567219152855E-3</v>
      </c>
      <c r="G85" s="1099">
        <f t="shared" si="45"/>
        <v>1.1136890951276101E-2</v>
      </c>
      <c r="H85" s="1099">
        <f t="shared" si="45"/>
        <v>1.1742602160638797E-2</v>
      </c>
      <c r="I85" s="1099">
        <f t="shared" si="45"/>
        <v>7.0955534531693476E-3</v>
      </c>
      <c r="J85" s="1099">
        <f t="shared" si="45"/>
        <v>2.2041207474844275E-2</v>
      </c>
      <c r="K85" s="1099">
        <f t="shared" si="45"/>
        <v>2.4366471734892786E-3</v>
      </c>
      <c r="L85" s="1099">
        <f t="shared" si="45"/>
        <v>0.2813852813852814</v>
      </c>
      <c r="M85" s="1099">
        <f t="shared" si="45"/>
        <v>4.3997485857950975E-3</v>
      </c>
      <c r="N85" s="1099">
        <f t="shared" si="45"/>
        <v>2.056555269922879E-2</v>
      </c>
      <c r="O85" s="1292">
        <f t="shared" si="45"/>
        <v>1.8673535093367676E-2</v>
      </c>
      <c r="P85" s="3744">
        <f>P61/P11</f>
        <v>0.35458388487979847</v>
      </c>
      <c r="Q85" s="3745"/>
      <c r="R85" s="3744" t="s">
        <v>252</v>
      </c>
      <c r="S85" s="3745"/>
      <c r="T85" s="1405">
        <f t="shared" ref="T85:AF85" si="46">IFERROR(T61/T11,0)</f>
        <v>1.2166859791425261E-2</v>
      </c>
      <c r="U85" s="1099">
        <f t="shared" si="46"/>
        <v>1.4917127071823204E-2</v>
      </c>
      <c r="V85" s="1099">
        <f t="shared" si="46"/>
        <v>1.7066666666666667E-2</v>
      </c>
      <c r="W85" s="1099">
        <f t="shared" si="46"/>
        <v>1.7866526537046769E-2</v>
      </c>
      <c r="X85" s="1099">
        <f t="shared" si="46"/>
        <v>1.3116474291710388E-2</v>
      </c>
      <c r="Y85" s="1099">
        <f t="shared" si="46"/>
        <v>1.9832985386221295E-2</v>
      </c>
      <c r="Z85" s="1099">
        <f t="shared" si="46"/>
        <v>1.6045548654244308E-2</v>
      </c>
      <c r="AA85" s="1099">
        <f t="shared" si="46"/>
        <v>1.1704834605597965E-2</v>
      </c>
      <c r="AB85" s="1099">
        <f t="shared" si="46"/>
        <v>3.5842293906810036E-3</v>
      </c>
      <c r="AC85" s="1099">
        <f t="shared" si="46"/>
        <v>1.0111223458038422E-2</v>
      </c>
      <c r="AD85" s="1099">
        <f t="shared" si="46"/>
        <v>8.581524482584554E-3</v>
      </c>
      <c r="AE85" s="1292">
        <f t="shared" si="46"/>
        <v>1.4420686225758329E-2</v>
      </c>
      <c r="AF85" s="3744">
        <f t="shared" si="46"/>
        <v>0.15891270256142184</v>
      </c>
      <c r="AG85" s="3745"/>
      <c r="AH85" s="1405">
        <f t="shared" ref="AH85:AT85" si="47">IFERROR(AH61/AH11,0)</f>
        <v>1.1197663096397274E-2</v>
      </c>
      <c r="AI85" s="1405">
        <f t="shared" si="47"/>
        <v>1.3816102906145784E-2</v>
      </c>
      <c r="AJ85" s="1099">
        <f t="shared" si="47"/>
        <v>1.7577197149643706E-2</v>
      </c>
      <c r="AK85" s="1099">
        <f t="shared" si="47"/>
        <v>1.0436432637571158E-2</v>
      </c>
      <c r="AL85" s="1099">
        <f t="shared" si="47"/>
        <v>1.334604385128694E-2</v>
      </c>
      <c r="AM85" s="1099">
        <f t="shared" si="47"/>
        <v>1.1331444759206799E-2</v>
      </c>
      <c r="AN85" s="1099">
        <f t="shared" si="47"/>
        <v>9.2464170134073046E-3</v>
      </c>
      <c r="AO85" s="1099">
        <f t="shared" si="47"/>
        <v>1.1044638748274275E-2</v>
      </c>
      <c r="AP85" s="1099">
        <f t="shared" si="47"/>
        <v>7.3766712770862147E-3</v>
      </c>
      <c r="AQ85" s="1099">
        <f t="shared" si="47"/>
        <v>1.3116236996834011E-2</v>
      </c>
      <c r="AR85" s="1099">
        <f t="shared" si="47"/>
        <v>6.6934404283801874E-3</v>
      </c>
      <c r="AS85" s="1293">
        <f t="shared" si="47"/>
        <v>1.13388573920628E-2</v>
      </c>
      <c r="AT85" s="3744">
        <f t="shared" si="47"/>
        <v>0.13611025085165687</v>
      </c>
      <c r="AU85" s="3745"/>
      <c r="AV85" s="2981">
        <v>1.2699999999999999E-2</v>
      </c>
      <c r="AW85" s="2981">
        <v>1.32E-2</v>
      </c>
      <c r="AX85" s="2982">
        <v>1.1900000000000001E-2</v>
      </c>
      <c r="AY85" s="2982">
        <v>9.4999999999999998E-3</v>
      </c>
      <c r="AZ85" s="2982">
        <v>1.18E-2</v>
      </c>
      <c r="BA85" s="2982">
        <v>1.04E-2</v>
      </c>
      <c r="BB85" s="2982">
        <v>9.1999999999999998E-3</v>
      </c>
      <c r="BC85" s="2982">
        <v>5.1000000000000004E-3</v>
      </c>
      <c r="BD85" s="2982">
        <v>8.2000000000000007E-3</v>
      </c>
      <c r="BE85" s="2982">
        <v>7.4000000000000003E-3</v>
      </c>
      <c r="BF85" s="2982">
        <v>9.4999999999999998E-3</v>
      </c>
      <c r="BG85" s="2983">
        <v>5.4999999999999997E-3</v>
      </c>
      <c r="BH85" s="3772">
        <v>0.113</v>
      </c>
      <c r="BI85" s="3773"/>
    </row>
    <row r="86" spans="1:62">
      <c r="A86" s="912" t="s">
        <v>279</v>
      </c>
      <c r="B86" s="1598" t="s">
        <v>252</v>
      </c>
      <c r="C86" s="1610" t="s">
        <v>252</v>
      </c>
      <c r="D86" s="1405">
        <f t="shared" ref="D86:O86" si="48">IFERROR(D62/D12,0)</f>
        <v>7.658102766798419E-3</v>
      </c>
      <c r="E86" s="1099">
        <f t="shared" si="48"/>
        <v>1.1997000749812546E-2</v>
      </c>
      <c r="F86" s="1099">
        <f t="shared" si="48"/>
        <v>6.0225846925972401E-3</v>
      </c>
      <c r="G86" s="1099">
        <f t="shared" si="48"/>
        <v>1.4728288471305232E-2</v>
      </c>
      <c r="H86" s="1099">
        <f t="shared" si="48"/>
        <v>2.047162477325732E-2</v>
      </c>
      <c r="I86" s="1099">
        <f t="shared" si="48"/>
        <v>1.7469560614081524E-2</v>
      </c>
      <c r="J86" s="1099">
        <f t="shared" si="48"/>
        <v>3.149394347240915E-2</v>
      </c>
      <c r="K86" s="1099">
        <f t="shared" si="48"/>
        <v>1.1881735285990605E-2</v>
      </c>
      <c r="L86" s="1099">
        <f t="shared" si="48"/>
        <v>0.10196078431372549</v>
      </c>
      <c r="M86" s="1099">
        <f t="shared" si="48"/>
        <v>1.6985793699814702E-2</v>
      </c>
      <c r="N86" s="1099">
        <f t="shared" si="48"/>
        <v>2.0833333333333332E-2</v>
      </c>
      <c r="O86" s="1292">
        <f t="shared" si="48"/>
        <v>0.11004170676932948</v>
      </c>
      <c r="P86" s="3738">
        <f>P62/P12</f>
        <v>0.3475480231150499</v>
      </c>
      <c r="Q86" s="3739"/>
      <c r="R86" s="3738" t="s">
        <v>252</v>
      </c>
      <c r="S86" s="3739"/>
      <c r="T86" s="1405">
        <f t="shared" ref="T86:AF86" si="49">IFERROR(T62/T12,0)</f>
        <v>2.3939064200217627E-2</v>
      </c>
      <c r="U86" s="1099">
        <f t="shared" si="49"/>
        <v>1.6437437101643745E-2</v>
      </c>
      <c r="V86" s="1099">
        <f t="shared" si="49"/>
        <v>2.0707231602421154E-2</v>
      </c>
      <c r="W86" s="1099">
        <f t="shared" si="49"/>
        <v>2.6532479414455627E-2</v>
      </c>
      <c r="X86" s="1099">
        <f t="shared" si="49"/>
        <v>3.108348134991119E-2</v>
      </c>
      <c r="Y86" s="1099">
        <f t="shared" si="49"/>
        <v>4.417067307692308E-2</v>
      </c>
      <c r="Z86" s="1099">
        <f t="shared" si="49"/>
        <v>2.1064950263311878E-2</v>
      </c>
      <c r="AA86" s="1099">
        <f t="shared" si="49"/>
        <v>2.3363138159792327E-2</v>
      </c>
      <c r="AB86" s="1099">
        <f t="shared" si="49"/>
        <v>9.2458826928633348E-3</v>
      </c>
      <c r="AC86" s="1099">
        <f t="shared" si="49"/>
        <v>1.9807583474816072E-2</v>
      </c>
      <c r="AD86" s="1099">
        <f t="shared" si="49"/>
        <v>1.7827298050139277E-2</v>
      </c>
      <c r="AE86" s="1292">
        <f t="shared" si="49"/>
        <v>2.3390203632361033E-2</v>
      </c>
      <c r="AF86" s="3738">
        <f t="shared" si="49"/>
        <v>0.27713556523044586</v>
      </c>
      <c r="AG86" s="3739"/>
      <c r="AH86" s="1405">
        <f t="shared" ref="AH86:AT86" si="50">IFERROR(AH62/AH12,0)</f>
        <v>1.6770354341357856E-2</v>
      </c>
      <c r="AI86" s="1405">
        <f t="shared" si="50"/>
        <v>1.3998943475964079E-2</v>
      </c>
      <c r="AJ86" s="1099">
        <f t="shared" si="50"/>
        <v>1.6679697680479541E-2</v>
      </c>
      <c r="AK86" s="1099">
        <f t="shared" si="50"/>
        <v>1.4177215189873417E-2</v>
      </c>
      <c r="AL86" s="1099">
        <f t="shared" si="50"/>
        <v>1.7068273092369479E-2</v>
      </c>
      <c r="AM86" s="1099">
        <f t="shared" si="50"/>
        <v>2.2898842476094614E-2</v>
      </c>
      <c r="AN86" s="1099">
        <f t="shared" si="50"/>
        <v>1.9192422731804586E-2</v>
      </c>
      <c r="AO86" s="1099">
        <f t="shared" si="50"/>
        <v>1.2224938875305624E-2</v>
      </c>
      <c r="AP86" s="1099">
        <f t="shared" si="50"/>
        <v>1.4571499135589035E-2</v>
      </c>
      <c r="AQ86" s="1099">
        <f t="shared" si="50"/>
        <v>1.2432959531935642E-2</v>
      </c>
      <c r="AR86" s="1099">
        <f t="shared" si="50"/>
        <v>1.476997578692494E-2</v>
      </c>
      <c r="AS86" s="1293">
        <f t="shared" si="50"/>
        <v>1.8067935437244036E-2</v>
      </c>
      <c r="AT86" s="3738">
        <f t="shared" si="50"/>
        <v>0.19270549809471965</v>
      </c>
      <c r="AU86" s="3739"/>
      <c r="AV86" s="2981">
        <v>1.46E-2</v>
      </c>
      <c r="AW86" s="2981">
        <v>1.4800000000000001E-2</v>
      </c>
      <c r="AX86" s="2982">
        <v>1.34E-2</v>
      </c>
      <c r="AY86" s="2982">
        <v>1.12E-2</v>
      </c>
      <c r="AZ86" s="2982">
        <v>1.9599999999999999E-2</v>
      </c>
      <c r="BA86" s="2982">
        <v>1.83E-2</v>
      </c>
      <c r="BB86" s="2982">
        <v>1.2699999999999999E-2</v>
      </c>
      <c r="BC86" s="2982">
        <v>1.06E-2</v>
      </c>
      <c r="BD86" s="2982">
        <v>1.24E-2</v>
      </c>
      <c r="BE86" s="2982">
        <v>1.2500000000000001E-2</v>
      </c>
      <c r="BF86" s="2982">
        <v>1.11E-2</v>
      </c>
      <c r="BG86" s="2983">
        <v>1.2200000000000001E-2</v>
      </c>
      <c r="BH86" s="3746">
        <v>0.16300000000000001</v>
      </c>
      <c r="BI86" s="3747"/>
    </row>
    <row r="87" spans="1:62" ht="11.65" customHeight="1">
      <c r="A87" s="912" t="s">
        <v>176</v>
      </c>
      <c r="B87" s="1598"/>
      <c r="C87" s="1610"/>
      <c r="D87" s="1405"/>
      <c r="E87" s="1099"/>
      <c r="F87" s="1099"/>
      <c r="G87" s="1099"/>
      <c r="H87" s="1099"/>
      <c r="I87" s="1099"/>
      <c r="J87" s="1099"/>
      <c r="K87" s="1099"/>
      <c r="L87" s="1099"/>
      <c r="M87" s="1099"/>
      <c r="N87" s="1099"/>
      <c r="O87" s="1292"/>
      <c r="P87" s="2952"/>
      <c r="Q87" s="2953"/>
      <c r="R87" s="2952"/>
      <c r="S87" s="2953"/>
      <c r="T87" s="1405"/>
      <c r="U87" s="1099"/>
      <c r="V87" s="1099"/>
      <c r="W87" s="1099"/>
      <c r="X87" s="1099"/>
      <c r="Y87" s="1099"/>
      <c r="Z87" s="1099"/>
      <c r="AA87" s="1099"/>
      <c r="AB87" s="1099"/>
      <c r="AC87" s="1099"/>
      <c r="AD87" s="1099"/>
      <c r="AE87" s="1292"/>
      <c r="AF87" s="2952"/>
      <c r="AG87" s="2953"/>
      <c r="AH87" s="1405"/>
      <c r="AI87" s="1405"/>
      <c r="AJ87" s="1099"/>
      <c r="AK87" s="1099"/>
      <c r="AL87" s="1099"/>
      <c r="AM87" s="1099"/>
      <c r="AN87" s="1099"/>
      <c r="AO87" s="1099"/>
      <c r="AP87" s="1099"/>
      <c r="AQ87" s="1099"/>
      <c r="AR87" s="1099"/>
      <c r="AS87" s="1293"/>
      <c r="AT87" s="2952"/>
      <c r="AU87" s="2953"/>
      <c r="AV87" s="2981">
        <v>3.0099999999999998E-2</v>
      </c>
      <c r="AW87" s="2981">
        <v>2.2499999999999999E-2</v>
      </c>
      <c r="AX87" s="2982">
        <v>2.5499999999999998E-2</v>
      </c>
      <c r="AY87" s="2982">
        <v>3.1800000000000002E-2</v>
      </c>
      <c r="AZ87" s="2982">
        <v>0.03</v>
      </c>
      <c r="BA87" s="2982">
        <v>2.6800000000000001E-2</v>
      </c>
      <c r="BB87" s="2982">
        <v>9.7500000000000003E-2</v>
      </c>
      <c r="BC87" s="2982">
        <v>3.32E-2</v>
      </c>
      <c r="BD87" s="2982">
        <v>1.49E-2</v>
      </c>
      <c r="BE87" s="2982">
        <v>7.4000000000000003E-3</v>
      </c>
      <c r="BF87" s="2982">
        <v>1.6500000000000001E-2</v>
      </c>
      <c r="BG87" s="2983">
        <v>1.9599999999999999E-2</v>
      </c>
      <c r="BH87" s="3746">
        <v>0.35599999999999998</v>
      </c>
      <c r="BI87" s="3747"/>
    </row>
    <row r="88" spans="1:62">
      <c r="A88" s="912" t="s">
        <v>177</v>
      </c>
      <c r="B88" s="1598" t="s">
        <v>252</v>
      </c>
      <c r="C88" s="1610" t="s">
        <v>252</v>
      </c>
      <c r="D88" s="1405">
        <f t="shared" ref="D88:O88" si="51">IFERROR(D64/D14,0)</f>
        <v>0</v>
      </c>
      <c r="E88" s="1099">
        <f t="shared" si="51"/>
        <v>0</v>
      </c>
      <c r="F88" s="1099">
        <f t="shared" si="51"/>
        <v>0</v>
      </c>
      <c r="G88" s="1099">
        <f t="shared" si="51"/>
        <v>0</v>
      </c>
      <c r="H88" s="1099">
        <f t="shared" si="51"/>
        <v>0</v>
      </c>
      <c r="I88" s="1099">
        <f t="shared" si="51"/>
        <v>0.1</v>
      </c>
      <c r="J88" s="1099">
        <f t="shared" si="51"/>
        <v>0</v>
      </c>
      <c r="K88" s="1099">
        <f t="shared" si="51"/>
        <v>0</v>
      </c>
      <c r="L88" s="1099">
        <f t="shared" si="51"/>
        <v>0</v>
      </c>
      <c r="M88" s="1099">
        <f t="shared" si="51"/>
        <v>0</v>
      </c>
      <c r="N88" s="1099">
        <f t="shared" si="51"/>
        <v>0.125</v>
      </c>
      <c r="O88" s="1292">
        <f t="shared" si="51"/>
        <v>0</v>
      </c>
      <c r="P88" s="3738">
        <f>P64/P14</f>
        <v>0.22641509433962262</v>
      </c>
      <c r="Q88" s="3739"/>
      <c r="R88" s="3738" t="s">
        <v>252</v>
      </c>
      <c r="S88" s="3739"/>
      <c r="T88" s="1405">
        <f t="shared" ref="T88:AF88" si="52">IFERROR(T64/T14,0)</f>
        <v>0</v>
      </c>
      <c r="U88" s="1099">
        <f t="shared" si="52"/>
        <v>0</v>
      </c>
      <c r="V88" s="1099">
        <f t="shared" si="52"/>
        <v>0</v>
      </c>
      <c r="W88" s="1099">
        <f t="shared" si="52"/>
        <v>0</v>
      </c>
      <c r="X88" s="1099">
        <f t="shared" si="52"/>
        <v>0.33333333333333331</v>
      </c>
      <c r="Y88" s="1099">
        <f t="shared" si="52"/>
        <v>0</v>
      </c>
      <c r="Z88" s="1099">
        <f t="shared" si="52"/>
        <v>0</v>
      </c>
      <c r="AA88" s="1099">
        <f t="shared" si="52"/>
        <v>0</v>
      </c>
      <c r="AB88" s="1099">
        <f t="shared" si="52"/>
        <v>0</v>
      </c>
      <c r="AC88" s="1099">
        <f t="shared" si="52"/>
        <v>0</v>
      </c>
      <c r="AD88" s="1099">
        <f t="shared" si="52"/>
        <v>0</v>
      </c>
      <c r="AE88" s="1292">
        <f t="shared" si="52"/>
        <v>0.125</v>
      </c>
      <c r="AF88" s="3738">
        <f t="shared" si="52"/>
        <v>0.44444444444444442</v>
      </c>
      <c r="AG88" s="3739"/>
      <c r="AH88" s="1405">
        <f t="shared" ref="AH88:AT88" si="53">IFERROR(AH64/AH14,0)</f>
        <v>0</v>
      </c>
      <c r="AI88" s="1405">
        <f t="shared" si="53"/>
        <v>0</v>
      </c>
      <c r="AJ88" s="1099">
        <f t="shared" si="53"/>
        <v>0</v>
      </c>
      <c r="AK88" s="1099">
        <f t="shared" si="53"/>
        <v>0</v>
      </c>
      <c r="AL88" s="1099">
        <f t="shared" si="53"/>
        <v>0.22222222222222221</v>
      </c>
      <c r="AM88" s="1099">
        <f t="shared" si="53"/>
        <v>0</v>
      </c>
      <c r="AN88" s="1099">
        <f t="shared" si="53"/>
        <v>0</v>
      </c>
      <c r="AO88" s="1099">
        <f t="shared" si="53"/>
        <v>0</v>
      </c>
      <c r="AP88" s="1099">
        <f t="shared" si="53"/>
        <v>0</v>
      </c>
      <c r="AQ88" s="1099">
        <f t="shared" si="53"/>
        <v>0.1111111111111111</v>
      </c>
      <c r="AR88" s="1099">
        <f t="shared" si="53"/>
        <v>0</v>
      </c>
      <c r="AS88" s="1293">
        <f t="shared" si="53"/>
        <v>0</v>
      </c>
      <c r="AT88" s="3738">
        <f t="shared" si="53"/>
        <v>0.33333333333333331</v>
      </c>
      <c r="AU88" s="3739"/>
      <c r="AV88" s="2981">
        <v>0</v>
      </c>
      <c r="AW88" s="2981">
        <v>0</v>
      </c>
      <c r="AX88" s="2982">
        <v>0</v>
      </c>
      <c r="AY88" s="2982">
        <v>0</v>
      </c>
      <c r="AZ88" s="2982">
        <v>0</v>
      </c>
      <c r="BA88" s="2982">
        <v>0</v>
      </c>
      <c r="BB88" s="2982">
        <v>0</v>
      </c>
      <c r="BC88" s="2982">
        <v>0</v>
      </c>
      <c r="BD88" s="2982">
        <v>0</v>
      </c>
      <c r="BE88" s="2982">
        <v>0</v>
      </c>
      <c r="BF88" s="2982">
        <v>0</v>
      </c>
      <c r="BG88" s="2983">
        <v>0.1</v>
      </c>
      <c r="BH88" s="3738">
        <v>0.1</v>
      </c>
      <c r="BI88" s="3739"/>
    </row>
    <row r="89" spans="1:62">
      <c r="A89" s="912" t="s">
        <v>178</v>
      </c>
      <c r="B89" s="1598" t="s">
        <v>252</v>
      </c>
      <c r="C89" s="1610" t="s">
        <v>252</v>
      </c>
      <c r="D89" s="1405">
        <f t="shared" ref="D89:O89" si="54">IFERROR(D65/D15,0)</f>
        <v>0</v>
      </c>
      <c r="E89" s="1099">
        <f t="shared" si="54"/>
        <v>0</v>
      </c>
      <c r="F89" s="1099">
        <f t="shared" si="54"/>
        <v>0</v>
      </c>
      <c r="G89" s="1099">
        <f t="shared" si="54"/>
        <v>0</v>
      </c>
      <c r="H89" s="1099">
        <f t="shared" si="54"/>
        <v>0</v>
      </c>
      <c r="I89" s="1099">
        <f t="shared" si="54"/>
        <v>0</v>
      </c>
      <c r="J89" s="1099">
        <f t="shared" si="54"/>
        <v>0</v>
      </c>
      <c r="K89" s="1099">
        <f t="shared" si="54"/>
        <v>0</v>
      </c>
      <c r="L89" s="1099">
        <f t="shared" si="54"/>
        <v>0</v>
      </c>
      <c r="M89" s="1099">
        <f t="shared" si="54"/>
        <v>0</v>
      </c>
      <c r="N89" s="1099">
        <f t="shared" si="54"/>
        <v>0</v>
      </c>
      <c r="O89" s="1292">
        <f t="shared" si="54"/>
        <v>0</v>
      </c>
      <c r="P89" s="3738">
        <f>P65/P15</f>
        <v>0</v>
      </c>
      <c r="Q89" s="3739"/>
      <c r="R89" s="3738" t="s">
        <v>252</v>
      </c>
      <c r="S89" s="3739"/>
      <c r="T89" s="1405">
        <f t="shared" ref="T89:AF89" si="55">IFERROR(T65/T15,0)</f>
        <v>0</v>
      </c>
      <c r="U89" s="1099">
        <f t="shared" si="55"/>
        <v>0</v>
      </c>
      <c r="V89" s="1099">
        <f t="shared" si="55"/>
        <v>0</v>
      </c>
      <c r="W89" s="1099">
        <f t="shared" si="55"/>
        <v>0</v>
      </c>
      <c r="X89" s="1099">
        <f t="shared" si="55"/>
        <v>0</v>
      </c>
      <c r="Y89" s="1099">
        <f t="shared" si="55"/>
        <v>0</v>
      </c>
      <c r="Z89" s="1099">
        <f t="shared" si="55"/>
        <v>0</v>
      </c>
      <c r="AA89" s="1099">
        <f t="shared" si="55"/>
        <v>0</v>
      </c>
      <c r="AB89" s="1099">
        <f t="shared" si="55"/>
        <v>0</v>
      </c>
      <c r="AC89" s="1099">
        <f t="shared" si="55"/>
        <v>0</v>
      </c>
      <c r="AD89" s="1099">
        <f t="shared" si="55"/>
        <v>0</v>
      </c>
      <c r="AE89" s="1292">
        <f t="shared" si="55"/>
        <v>0</v>
      </c>
      <c r="AF89" s="3738">
        <f t="shared" si="55"/>
        <v>0</v>
      </c>
      <c r="AG89" s="3739"/>
      <c r="AH89" s="1405">
        <f t="shared" ref="AH89:AT89" si="56">IFERROR(AH65/AH15,0)</f>
        <v>0</v>
      </c>
      <c r="AI89" s="1405">
        <f t="shared" si="56"/>
        <v>0</v>
      </c>
      <c r="AJ89" s="1099">
        <f t="shared" si="56"/>
        <v>0</v>
      </c>
      <c r="AK89" s="1099">
        <f t="shared" si="56"/>
        <v>0</v>
      </c>
      <c r="AL89" s="1099">
        <f t="shared" si="56"/>
        <v>0</v>
      </c>
      <c r="AM89" s="1099">
        <f t="shared" si="56"/>
        <v>0</v>
      </c>
      <c r="AN89" s="1099">
        <f t="shared" si="56"/>
        <v>0</v>
      </c>
      <c r="AO89" s="1099">
        <f t="shared" si="56"/>
        <v>0</v>
      </c>
      <c r="AP89" s="1099">
        <f t="shared" si="56"/>
        <v>0</v>
      </c>
      <c r="AQ89" s="1099">
        <f t="shared" si="56"/>
        <v>0</v>
      </c>
      <c r="AR89" s="1099">
        <f t="shared" si="56"/>
        <v>0</v>
      </c>
      <c r="AS89" s="1293">
        <f t="shared" si="56"/>
        <v>0</v>
      </c>
      <c r="AT89" s="3738">
        <f t="shared" si="56"/>
        <v>0</v>
      </c>
      <c r="AU89" s="3739"/>
      <c r="AV89" s="2981">
        <v>0</v>
      </c>
      <c r="AW89" s="2981">
        <v>5.8799999999999998E-2</v>
      </c>
      <c r="AX89" s="2982">
        <v>6.25E-2</v>
      </c>
      <c r="AY89" s="2982">
        <v>0</v>
      </c>
      <c r="AZ89" s="2982">
        <v>0</v>
      </c>
      <c r="BA89" s="2982">
        <v>0</v>
      </c>
      <c r="BB89" s="2982">
        <v>0.1176</v>
      </c>
      <c r="BC89" s="2982">
        <v>0</v>
      </c>
      <c r="BD89" s="2982">
        <v>0</v>
      </c>
      <c r="BE89" s="2982">
        <v>5.5599999999999997E-2</v>
      </c>
      <c r="BF89" s="2982">
        <v>0</v>
      </c>
      <c r="BG89" s="2983">
        <v>0</v>
      </c>
      <c r="BH89" s="3738">
        <v>0.27800000000000002</v>
      </c>
      <c r="BI89" s="3739"/>
    </row>
    <row r="90" spans="1:62">
      <c r="A90" s="912" t="s">
        <v>608</v>
      </c>
      <c r="B90" s="1598" t="s">
        <v>252</v>
      </c>
      <c r="C90" s="1610" t="s">
        <v>252</v>
      </c>
      <c r="D90" s="1405">
        <f t="shared" ref="D90:O90" si="57">IFERROR(D66/D16,0)</f>
        <v>0</v>
      </c>
      <c r="E90" s="1099">
        <f t="shared" si="57"/>
        <v>0</v>
      </c>
      <c r="F90" s="1099">
        <f t="shared" si="57"/>
        <v>0</v>
      </c>
      <c r="G90" s="1099">
        <f t="shared" si="57"/>
        <v>0</v>
      </c>
      <c r="H90" s="1099">
        <f t="shared" si="57"/>
        <v>0</v>
      </c>
      <c r="I90" s="1099">
        <f t="shared" si="57"/>
        <v>0</v>
      </c>
      <c r="J90" s="1099">
        <f t="shared" si="57"/>
        <v>0</v>
      </c>
      <c r="K90" s="1099">
        <f t="shared" si="57"/>
        <v>0</v>
      </c>
      <c r="L90" s="1099">
        <f t="shared" si="57"/>
        <v>0</v>
      </c>
      <c r="M90" s="1099">
        <f t="shared" si="57"/>
        <v>0</v>
      </c>
      <c r="N90" s="1099">
        <f t="shared" si="57"/>
        <v>0</v>
      </c>
      <c r="O90" s="1292">
        <f t="shared" si="57"/>
        <v>0</v>
      </c>
      <c r="P90" s="3738" t="e">
        <f>P66/P16</f>
        <v>#DIV/0!</v>
      </c>
      <c r="Q90" s="3739"/>
      <c r="R90" s="3738" t="s">
        <v>252</v>
      </c>
      <c r="S90" s="3739"/>
      <c r="T90" s="1405"/>
      <c r="U90" s="1099"/>
      <c r="V90" s="1099"/>
      <c r="W90" s="1099"/>
      <c r="X90" s="1099"/>
      <c r="Y90" s="1099"/>
      <c r="Z90" s="1099"/>
      <c r="AA90" s="1099"/>
      <c r="AB90" s="1099"/>
      <c r="AC90" s="1099"/>
      <c r="AD90" s="1099"/>
      <c r="AE90" s="1292"/>
      <c r="AF90" s="3738">
        <f>IFERROR(AF66/AF16,0)</f>
        <v>0</v>
      </c>
      <c r="AG90" s="3739"/>
      <c r="AH90" s="1405">
        <f t="shared" ref="AH90:AT90" si="58">IFERROR(AH66/AH16,0)</f>
        <v>0</v>
      </c>
      <c r="AI90" s="1405">
        <f t="shared" si="58"/>
        <v>0.14285714285714285</v>
      </c>
      <c r="AJ90" s="1099">
        <f t="shared" si="58"/>
        <v>0.25</v>
      </c>
      <c r="AK90" s="1099">
        <f t="shared" si="58"/>
        <v>0.13636363636363635</v>
      </c>
      <c r="AL90" s="1099">
        <f t="shared" si="58"/>
        <v>4.0816326530612242E-2</v>
      </c>
      <c r="AM90" s="1099">
        <f t="shared" si="58"/>
        <v>0.1276595744680851</v>
      </c>
      <c r="AN90" s="1099">
        <f t="shared" si="58"/>
        <v>0.11363636363636363</v>
      </c>
      <c r="AO90" s="1099">
        <f t="shared" si="58"/>
        <v>6.9767441860465115E-2</v>
      </c>
      <c r="AP90" s="1099">
        <f t="shared" si="58"/>
        <v>7.3170731707317069E-2</v>
      </c>
      <c r="AQ90" s="1099">
        <f t="shared" si="58"/>
        <v>2.3809523809523808E-2</v>
      </c>
      <c r="AR90" s="1099">
        <f t="shared" si="58"/>
        <v>0.11627906976744186</v>
      </c>
      <c r="AS90" s="1293">
        <f t="shared" si="58"/>
        <v>8.3333333333333329E-2</v>
      </c>
      <c r="AT90" s="3738">
        <f t="shared" si="58"/>
        <v>0</v>
      </c>
      <c r="AU90" s="3739"/>
      <c r="AV90" s="2981">
        <v>6.3799999999999996E-2</v>
      </c>
      <c r="AW90" s="2981">
        <v>0</v>
      </c>
      <c r="AX90" s="2982">
        <v>0.08</v>
      </c>
      <c r="AY90" s="2982">
        <v>0.04</v>
      </c>
      <c r="AZ90" s="2982">
        <v>0.20449999999999999</v>
      </c>
      <c r="BA90" s="2982">
        <v>0.16669999999999999</v>
      </c>
      <c r="BB90" s="2982">
        <v>0.125</v>
      </c>
      <c r="BC90" s="2982">
        <v>2.2700000000000001E-2</v>
      </c>
      <c r="BD90" s="2982">
        <v>2.1700000000000001E-2</v>
      </c>
      <c r="BE90" s="2982">
        <v>9.5200000000000007E-2</v>
      </c>
      <c r="BF90" s="2982">
        <v>2.2700000000000001E-2</v>
      </c>
      <c r="BG90" s="2983">
        <v>6.9800000000000001E-2</v>
      </c>
      <c r="BH90" s="3738">
        <v>0.88900000000000001</v>
      </c>
      <c r="BI90" s="3739"/>
    </row>
    <row r="91" spans="1:62" ht="12.6" thickBot="1">
      <c r="A91" s="911" t="s">
        <v>182</v>
      </c>
      <c r="B91" s="1601" t="s">
        <v>252</v>
      </c>
      <c r="C91" s="1611" t="s">
        <v>252</v>
      </c>
      <c r="D91" s="1470">
        <f t="shared" ref="D91:O91" si="59">IFERROR(D67/D17,0)</f>
        <v>0</v>
      </c>
      <c r="E91" s="1469">
        <f t="shared" si="59"/>
        <v>0</v>
      </c>
      <c r="F91" s="1469">
        <f t="shared" si="59"/>
        <v>0</v>
      </c>
      <c r="G91" s="1469">
        <f t="shared" si="59"/>
        <v>1</v>
      </c>
      <c r="H91" s="1469">
        <f t="shared" si="59"/>
        <v>0</v>
      </c>
      <c r="I91" s="1469">
        <f t="shared" si="59"/>
        <v>0</v>
      </c>
      <c r="J91" s="1469">
        <f t="shared" si="59"/>
        <v>0</v>
      </c>
      <c r="K91" s="1469">
        <f t="shared" si="59"/>
        <v>0</v>
      </c>
      <c r="L91" s="1469">
        <f t="shared" si="59"/>
        <v>0</v>
      </c>
      <c r="M91" s="1469">
        <f t="shared" si="59"/>
        <v>0</v>
      </c>
      <c r="N91" s="1469">
        <f t="shared" si="59"/>
        <v>0</v>
      </c>
      <c r="O91" s="1475">
        <f t="shared" si="59"/>
        <v>0</v>
      </c>
      <c r="P91" s="3736">
        <f>P67/P17</f>
        <v>2</v>
      </c>
      <c r="Q91" s="3737"/>
      <c r="R91" s="3736" t="s">
        <v>252</v>
      </c>
      <c r="S91" s="3737"/>
      <c r="T91" s="1470">
        <f t="shared" ref="T91:AE91" si="60">IFERROR(T67/T17,0)</f>
        <v>0</v>
      </c>
      <c r="U91" s="1469">
        <f t="shared" si="60"/>
        <v>0</v>
      </c>
      <c r="V91" s="1469">
        <f t="shared" si="60"/>
        <v>0</v>
      </c>
      <c r="W91" s="1469">
        <f t="shared" si="60"/>
        <v>0</v>
      </c>
      <c r="X91" s="1469">
        <f t="shared" si="60"/>
        <v>0</v>
      </c>
      <c r="Y91" s="1469">
        <f t="shared" si="60"/>
        <v>0</v>
      </c>
      <c r="Z91" s="1469">
        <f t="shared" si="60"/>
        <v>0</v>
      </c>
      <c r="AA91" s="1469">
        <f t="shared" si="60"/>
        <v>0.33333333333333331</v>
      </c>
      <c r="AB91" s="1469">
        <f t="shared" si="60"/>
        <v>0</v>
      </c>
      <c r="AC91" s="1469">
        <f t="shared" si="60"/>
        <v>0</v>
      </c>
      <c r="AD91" s="1469">
        <f t="shared" si="60"/>
        <v>0.125</v>
      </c>
      <c r="AE91" s="1475">
        <f t="shared" si="60"/>
        <v>1.25</v>
      </c>
      <c r="AF91" s="3736">
        <f>IFERROR(AF67/AF17,0)</f>
        <v>3.8048780487804881</v>
      </c>
      <c r="AG91" s="3737"/>
      <c r="AH91" s="1470">
        <f t="shared" ref="AH91:AT91" si="61">IFERROR(AH67/AH17,0)</f>
        <v>0</v>
      </c>
      <c r="AI91" s="1470">
        <f t="shared" si="61"/>
        <v>0</v>
      </c>
      <c r="AJ91" s="1469">
        <f t="shared" si="61"/>
        <v>0</v>
      </c>
      <c r="AK91" s="1469">
        <f t="shared" si="61"/>
        <v>0</v>
      </c>
      <c r="AL91" s="1469">
        <f t="shared" si="61"/>
        <v>0</v>
      </c>
      <c r="AM91" s="1469">
        <f t="shared" si="61"/>
        <v>0</v>
      </c>
      <c r="AN91" s="1469">
        <f t="shared" si="61"/>
        <v>0</v>
      </c>
      <c r="AO91" s="1469">
        <f t="shared" si="61"/>
        <v>0</v>
      </c>
      <c r="AP91" s="1469">
        <f t="shared" si="61"/>
        <v>0.14285714285714285</v>
      </c>
      <c r="AQ91" s="1469">
        <f t="shared" si="61"/>
        <v>0.16666666666666666</v>
      </c>
      <c r="AR91" s="1469">
        <f t="shared" si="61"/>
        <v>0</v>
      </c>
      <c r="AS91" s="1475">
        <f t="shared" si="61"/>
        <v>0</v>
      </c>
      <c r="AT91" s="3736">
        <f t="shared" si="61"/>
        <v>0.24742268041237112</v>
      </c>
      <c r="AU91" s="3737"/>
      <c r="AV91" s="2984">
        <v>5.9900000000000002E-2</v>
      </c>
      <c r="AW91" s="2984">
        <v>6.8699999999999997E-2</v>
      </c>
      <c r="AX91" s="2985">
        <v>8.3299999999999999E-2</v>
      </c>
      <c r="AY91" s="2985">
        <v>7.8E-2</v>
      </c>
      <c r="AZ91" s="2985">
        <v>9.5399999999999999E-2</v>
      </c>
      <c r="BA91" s="2985">
        <v>0.11</v>
      </c>
      <c r="BB91" s="2985">
        <v>9.4799999999999995E-2</v>
      </c>
      <c r="BC91" s="2985">
        <v>4.0500000000000001E-2</v>
      </c>
      <c r="BD91" s="2985">
        <v>5.8299999999999998E-2</v>
      </c>
      <c r="BE91" s="2985">
        <v>9.8799999999999999E-2</v>
      </c>
      <c r="BF91" s="2985">
        <v>2.8999999999999998E-3</v>
      </c>
      <c r="BG91" s="2986">
        <v>2.8E-3</v>
      </c>
      <c r="BH91" s="3736">
        <v>0.77200000000000002</v>
      </c>
      <c r="BI91" s="3737"/>
    </row>
    <row r="92" spans="1:62" ht="12.6" thickBot="1">
      <c r="A92" s="194"/>
      <c r="B92" s="1442"/>
      <c r="C92" s="1442"/>
      <c r="D92" s="690"/>
      <c r="E92" s="690"/>
      <c r="F92" s="690"/>
      <c r="G92" s="690"/>
      <c r="H92" s="690"/>
      <c r="I92" s="690"/>
      <c r="J92" s="690"/>
      <c r="K92" s="690"/>
      <c r="L92" s="690"/>
      <c r="M92" s="690"/>
      <c r="N92" s="690"/>
      <c r="O92" s="690"/>
      <c r="P92" s="195"/>
      <c r="Q92" s="195"/>
      <c r="R92" s="1483"/>
      <c r="S92" s="1483"/>
      <c r="T92" s="690"/>
      <c r="U92" s="690"/>
      <c r="V92" s="690"/>
      <c r="W92" s="690"/>
      <c r="X92" s="690"/>
      <c r="Y92" s="690"/>
      <c r="Z92" s="690"/>
      <c r="AA92" s="690"/>
      <c r="AB92" s="690"/>
      <c r="AC92" s="690"/>
      <c r="AD92" s="690"/>
      <c r="AE92" s="690"/>
      <c r="AF92" s="195"/>
      <c r="AG92" s="195"/>
      <c r="AH92" s="690"/>
      <c r="AI92" s="690"/>
      <c r="AJ92" s="690"/>
      <c r="AK92" s="690"/>
      <c r="AL92" s="690"/>
      <c r="AM92" s="690"/>
      <c r="AN92" s="690"/>
      <c r="AO92" s="690"/>
      <c r="AP92" s="690"/>
      <c r="AQ92" s="690"/>
      <c r="AR92" s="690"/>
      <c r="AS92" s="690"/>
      <c r="AT92" s="195"/>
      <c r="AU92" s="195"/>
      <c r="AV92" s="2058"/>
      <c r="AW92" s="2058"/>
      <c r="AX92" s="2058"/>
      <c r="AY92" s="2058"/>
      <c r="AZ92" s="2058"/>
      <c r="BA92" s="2058"/>
      <c r="BB92" s="2058"/>
      <c r="BC92" s="2058"/>
      <c r="BD92" s="2058"/>
      <c r="BE92" s="2058"/>
      <c r="BF92" s="2058"/>
      <c r="BG92" s="2058"/>
      <c r="BH92" s="2059"/>
      <c r="BI92" s="195"/>
    </row>
    <row r="93" spans="1:62" ht="15" customHeight="1" thickBot="1">
      <c r="A93" s="909" t="s">
        <v>621</v>
      </c>
      <c r="B93" s="1443" t="s">
        <v>607</v>
      </c>
      <c r="C93" s="1449" t="s">
        <v>607</v>
      </c>
      <c r="D93" s="1490">
        <v>43951</v>
      </c>
      <c r="E93" s="1463">
        <v>43982</v>
      </c>
      <c r="F93" s="1462">
        <v>44012</v>
      </c>
      <c r="G93" s="1463">
        <v>44043</v>
      </c>
      <c r="H93" s="1464">
        <v>44074</v>
      </c>
      <c r="I93" s="1463">
        <v>44104</v>
      </c>
      <c r="J93" s="1462">
        <v>44135</v>
      </c>
      <c r="K93" s="1463">
        <v>44165</v>
      </c>
      <c r="L93" s="1462">
        <v>44196</v>
      </c>
      <c r="M93" s="1463">
        <v>44227</v>
      </c>
      <c r="N93" s="1462">
        <v>44255</v>
      </c>
      <c r="O93" s="1476">
        <v>44286</v>
      </c>
      <c r="P93" s="3740" t="s">
        <v>622</v>
      </c>
      <c r="Q93" s="3741"/>
      <c r="R93" s="3740" t="s">
        <v>622</v>
      </c>
      <c r="S93" s="3741"/>
      <c r="T93" s="1490">
        <v>44652</v>
      </c>
      <c r="U93" s="1463">
        <v>44682</v>
      </c>
      <c r="V93" s="1462">
        <v>44713</v>
      </c>
      <c r="W93" s="1463">
        <v>44743</v>
      </c>
      <c r="X93" s="1464">
        <v>44774</v>
      </c>
      <c r="Y93" s="1463">
        <v>44805</v>
      </c>
      <c r="Z93" s="1462">
        <v>44835</v>
      </c>
      <c r="AA93" s="1463">
        <v>44866</v>
      </c>
      <c r="AB93" s="1462">
        <v>44896</v>
      </c>
      <c r="AC93" s="1463">
        <v>44927</v>
      </c>
      <c r="AD93" s="1463">
        <v>44958</v>
      </c>
      <c r="AE93" s="1462">
        <v>44986</v>
      </c>
      <c r="AF93" s="3740" t="s">
        <v>622</v>
      </c>
      <c r="AG93" s="3741"/>
      <c r="AH93" s="1397">
        <v>45030</v>
      </c>
      <c r="AI93" s="908">
        <v>45062</v>
      </c>
      <c r="AJ93" s="907">
        <v>45094</v>
      </c>
      <c r="AK93" s="908">
        <v>45126</v>
      </c>
      <c r="AL93" s="907">
        <v>45158</v>
      </c>
      <c r="AM93" s="908">
        <v>45190</v>
      </c>
      <c r="AN93" s="907">
        <v>45222</v>
      </c>
      <c r="AO93" s="908">
        <v>45254</v>
      </c>
      <c r="AP93" s="907">
        <v>45286</v>
      </c>
      <c r="AQ93" s="908">
        <v>45318</v>
      </c>
      <c r="AR93" s="907">
        <v>45350</v>
      </c>
      <c r="AS93" s="1473">
        <v>45382</v>
      </c>
      <c r="AT93" s="3740" t="s">
        <v>622</v>
      </c>
      <c r="AU93" s="3741"/>
      <c r="AV93" s="2056">
        <v>45396</v>
      </c>
      <c r="AW93" s="2057">
        <v>45428</v>
      </c>
      <c r="AX93" s="2056">
        <v>45460</v>
      </c>
      <c r="AY93" s="2056">
        <v>45492</v>
      </c>
      <c r="AZ93" s="2057">
        <v>45524</v>
      </c>
      <c r="BA93" s="2056">
        <v>45556</v>
      </c>
      <c r="BB93" s="2056">
        <v>45588</v>
      </c>
      <c r="BC93" s="2057">
        <v>45620</v>
      </c>
      <c r="BD93" s="2056">
        <v>45652</v>
      </c>
      <c r="BE93" s="2056">
        <v>45684</v>
      </c>
      <c r="BF93" s="2057">
        <v>45716</v>
      </c>
      <c r="BG93" s="1434">
        <v>45717</v>
      </c>
      <c r="BH93" s="3740" t="s">
        <v>622</v>
      </c>
      <c r="BI93" s="3741"/>
    </row>
    <row r="94" spans="1:62">
      <c r="A94" s="910" t="s">
        <v>609</v>
      </c>
      <c r="B94" s="1598" t="s">
        <v>252</v>
      </c>
      <c r="C94" s="1602" t="s">
        <v>252</v>
      </c>
      <c r="D94" s="1474">
        <f t="shared" ref="D94:O94" si="62">IFERROR(D70/D20,0)</f>
        <v>9.485094850948509E-3</v>
      </c>
      <c r="E94" s="1097">
        <f t="shared" si="62"/>
        <v>4.136947218259629E-2</v>
      </c>
      <c r="F94" s="1098">
        <f t="shared" si="62"/>
        <v>7.331378299120235E-3</v>
      </c>
      <c r="G94" s="1097">
        <f t="shared" si="62"/>
        <v>2.7272727272727271E-2</v>
      </c>
      <c r="H94" s="1097">
        <f t="shared" si="62"/>
        <v>2.3809523809523808E-2</v>
      </c>
      <c r="I94" s="1098">
        <f t="shared" si="62"/>
        <v>2.8475711892797319E-2</v>
      </c>
      <c r="J94" s="1097">
        <f t="shared" si="62"/>
        <v>3.6332179930795849E-2</v>
      </c>
      <c r="K94" s="1097">
        <f t="shared" si="62"/>
        <v>1.263537906137184E-2</v>
      </c>
      <c r="L94" s="1097">
        <f t="shared" si="62"/>
        <v>0.15336134453781514</v>
      </c>
      <c r="M94" s="1097">
        <f t="shared" si="62"/>
        <v>1.5184381778741865E-2</v>
      </c>
      <c r="N94" s="1097">
        <f t="shared" si="62"/>
        <v>2.7149321266968326E-2</v>
      </c>
      <c r="O94" s="1480">
        <f t="shared" si="62"/>
        <v>7.6036866359447008E-2</v>
      </c>
      <c r="P94" s="3742">
        <f t="shared" ref="P94:P99" si="63">P70/P20</f>
        <v>0.42111318855170432</v>
      </c>
      <c r="Q94" s="3743"/>
      <c r="R94" s="3742" t="s">
        <v>252</v>
      </c>
      <c r="S94" s="3743"/>
      <c r="T94" s="1474">
        <f t="shared" ref="T94:AF94" si="64">IFERROR(T70/T20,0)</f>
        <v>2.7272727272727271E-2</v>
      </c>
      <c r="U94" s="1097">
        <f t="shared" si="64"/>
        <v>4.6838407494145202E-2</v>
      </c>
      <c r="V94" s="1098">
        <f t="shared" si="64"/>
        <v>4.6875E-2</v>
      </c>
      <c r="W94" s="1097">
        <f t="shared" si="64"/>
        <v>5.8139534883720929E-2</v>
      </c>
      <c r="X94" s="1097">
        <f t="shared" si="64"/>
        <v>6.3291139240506333E-2</v>
      </c>
      <c r="Y94" s="1098">
        <f t="shared" si="64"/>
        <v>0.14878892733564014</v>
      </c>
      <c r="Z94" s="1097">
        <f t="shared" si="64"/>
        <v>5.3082191780821915E-2</v>
      </c>
      <c r="AA94" s="1097">
        <f t="shared" si="64"/>
        <v>3.6666666666666667E-2</v>
      </c>
      <c r="AB94" s="1097">
        <f t="shared" si="64"/>
        <v>4.084967320261438E-2</v>
      </c>
      <c r="AC94" s="1097">
        <f t="shared" si="64"/>
        <v>3.1746031746031744E-2</v>
      </c>
      <c r="AD94" s="1097">
        <f t="shared" si="64"/>
        <v>2.9411764705882353E-2</v>
      </c>
      <c r="AE94" s="1400">
        <f t="shared" si="64"/>
        <v>3.2835820895522387E-2</v>
      </c>
      <c r="AF94" s="3742">
        <f t="shared" si="64"/>
        <v>0.62084127216766816</v>
      </c>
      <c r="AG94" s="3743"/>
      <c r="AH94" s="1400">
        <f t="shared" ref="AH94:AT94" si="65">IFERROR(AH70/AH20,0)</f>
        <v>3.4722222222222224E-2</v>
      </c>
      <c r="AI94" s="1097">
        <f t="shared" si="65"/>
        <v>3.0808729139922979E-2</v>
      </c>
      <c r="AJ94" s="1097">
        <f t="shared" si="65"/>
        <v>4.9304677623261697E-2</v>
      </c>
      <c r="AK94" s="1097">
        <f t="shared" si="65"/>
        <v>3.2979976442873968E-2</v>
      </c>
      <c r="AL94" s="1097">
        <f t="shared" si="65"/>
        <v>3.2332563510392612E-2</v>
      </c>
      <c r="AM94" s="1097">
        <f t="shared" si="65"/>
        <v>6.2796208530805683E-2</v>
      </c>
      <c r="AN94" s="1098">
        <f t="shared" si="65"/>
        <v>4.4520547945205477E-2</v>
      </c>
      <c r="AO94" s="1097">
        <f t="shared" si="65"/>
        <v>2.7442371020856202E-2</v>
      </c>
      <c r="AP94" s="1097">
        <f t="shared" si="65"/>
        <v>2.9511918274687854E-2</v>
      </c>
      <c r="AQ94" s="1098">
        <f t="shared" si="65"/>
        <v>2.391304347826087E-2</v>
      </c>
      <c r="AR94" s="1097">
        <f t="shared" si="65"/>
        <v>2.8784648187633263E-2</v>
      </c>
      <c r="AS94" s="1474">
        <f t="shared" si="65"/>
        <v>3.4308779011099896E-2</v>
      </c>
      <c r="AT94" s="3742">
        <f t="shared" si="65"/>
        <v>0.42832336484661393</v>
      </c>
      <c r="AU94" s="3743"/>
      <c r="AV94" s="2980">
        <v>2.6200000000000001E-2</v>
      </c>
      <c r="AW94" s="2977">
        <v>3.95E-2</v>
      </c>
      <c r="AX94" s="2977">
        <v>3.6600000000000001E-2</v>
      </c>
      <c r="AY94" s="2977">
        <v>3.3599999999999998E-2</v>
      </c>
      <c r="AZ94" s="2977">
        <v>0.05</v>
      </c>
      <c r="BA94" s="2977">
        <v>5.2499999999999998E-2</v>
      </c>
      <c r="BB94" s="2976">
        <v>5.6399999999999999E-2</v>
      </c>
      <c r="BC94" s="2977">
        <v>2.3599999999999999E-2</v>
      </c>
      <c r="BD94" s="2977">
        <v>2.5399999999999999E-2</v>
      </c>
      <c r="BE94" s="2976">
        <v>2.8899999999999999E-2</v>
      </c>
      <c r="BF94" s="2977">
        <v>2.35E-2</v>
      </c>
      <c r="BG94" s="2987">
        <v>1.7500000000000002E-2</v>
      </c>
      <c r="BH94" s="3742">
        <v>0.41099999999999998</v>
      </c>
      <c r="BI94" s="3743"/>
    </row>
    <row r="95" spans="1:62">
      <c r="A95" s="912" t="s">
        <v>610</v>
      </c>
      <c r="B95" s="1598" t="s">
        <v>252</v>
      </c>
      <c r="C95" s="1602" t="s">
        <v>252</v>
      </c>
      <c r="D95" s="1293">
        <f t="shared" ref="D95:O95" si="66">IFERROR(D71/D21,0)</f>
        <v>8.4690553745928338E-3</v>
      </c>
      <c r="E95" s="1099">
        <f t="shared" si="66"/>
        <v>9.8879367172050106E-3</v>
      </c>
      <c r="F95" s="1099">
        <f t="shared" si="66"/>
        <v>5.3191489361702126E-3</v>
      </c>
      <c r="G95" s="1099">
        <f t="shared" si="66"/>
        <v>1.5572105619498984E-2</v>
      </c>
      <c r="H95" s="1099">
        <f t="shared" si="66"/>
        <v>1.5851137146795313E-2</v>
      </c>
      <c r="I95" s="1099">
        <f t="shared" si="66"/>
        <v>1.5438596491228071E-2</v>
      </c>
      <c r="J95" s="1099">
        <f t="shared" si="66"/>
        <v>3.3910533910533912E-2</v>
      </c>
      <c r="K95" s="1099">
        <f t="shared" si="66"/>
        <v>1.7164179104477612E-2</v>
      </c>
      <c r="L95" s="1099">
        <f t="shared" si="66"/>
        <v>0.12510425354462051</v>
      </c>
      <c r="M95" s="1099">
        <f t="shared" si="66"/>
        <v>1.6920473773265651E-2</v>
      </c>
      <c r="N95" s="1099">
        <f t="shared" si="66"/>
        <v>2.5349650349650348E-2</v>
      </c>
      <c r="O95" s="1481">
        <f t="shared" si="66"/>
        <v>6.8444444444444447E-2</v>
      </c>
      <c r="P95" s="3744">
        <f t="shared" si="63"/>
        <v>0.33159349094258522</v>
      </c>
      <c r="Q95" s="3745"/>
      <c r="R95" s="3746" t="s">
        <v>252</v>
      </c>
      <c r="S95" s="3747"/>
      <c r="T95" s="1293">
        <f t="shared" ref="T95:AF95" si="67">IFERROR(T71/T21,0)</f>
        <v>2.1276595744680851E-2</v>
      </c>
      <c r="U95" s="1099">
        <f t="shared" si="67"/>
        <v>2.2184300341296929E-2</v>
      </c>
      <c r="V95" s="1099">
        <f t="shared" si="67"/>
        <v>1.7017828200972446E-2</v>
      </c>
      <c r="W95" s="1099">
        <f t="shared" si="67"/>
        <v>1.9654088050314465E-2</v>
      </c>
      <c r="X95" s="1099">
        <f t="shared" si="67"/>
        <v>2.9457364341085271E-2</v>
      </c>
      <c r="Y95" s="1099">
        <f t="shared" si="67"/>
        <v>2.313030069390902E-2</v>
      </c>
      <c r="Z95" s="1099">
        <f t="shared" si="67"/>
        <v>1.5671641791044775E-2</v>
      </c>
      <c r="AA95" s="1099">
        <f t="shared" si="67"/>
        <v>1.6751638747268753E-2</v>
      </c>
      <c r="AB95" s="1099">
        <f t="shared" si="67"/>
        <v>1.9019751280175568E-2</v>
      </c>
      <c r="AC95" s="1099">
        <f t="shared" si="67"/>
        <v>1.7106200997861726E-2</v>
      </c>
      <c r="AD95" s="1099">
        <f t="shared" si="67"/>
        <v>1.1838440111420613E-2</v>
      </c>
      <c r="AE95" s="1293">
        <f t="shared" si="67"/>
        <v>2.4005486968449931E-2</v>
      </c>
      <c r="AF95" s="3744">
        <f t="shared" si="67"/>
        <v>0.23583285632512879</v>
      </c>
      <c r="AG95" s="3745"/>
      <c r="AH95" s="1292">
        <f t="shared" ref="AH95:AT95" si="68">IFERROR(AH71/AH21,0)</f>
        <v>1.4160485502360081E-2</v>
      </c>
      <c r="AI95" s="1099">
        <f t="shared" si="68"/>
        <v>9.1743119266055051E-3</v>
      </c>
      <c r="AJ95" s="1099">
        <f t="shared" si="68"/>
        <v>1.7543859649122806E-2</v>
      </c>
      <c r="AK95" s="1099">
        <f t="shared" si="68"/>
        <v>1.9023462270133164E-2</v>
      </c>
      <c r="AL95" s="1099">
        <f t="shared" si="68"/>
        <v>2.2756005056890013E-2</v>
      </c>
      <c r="AM95" s="1099">
        <f t="shared" si="68"/>
        <v>1.9583070120025269E-2</v>
      </c>
      <c r="AN95" s="1099">
        <f t="shared" si="68"/>
        <v>1.6853932584269662E-2</v>
      </c>
      <c r="AO95" s="1099">
        <f t="shared" si="68"/>
        <v>1.2307692307692308E-2</v>
      </c>
      <c r="AP95" s="1099">
        <f t="shared" si="68"/>
        <v>1.2970969734403953E-2</v>
      </c>
      <c r="AQ95" s="1099">
        <f t="shared" si="68"/>
        <v>1.7083587553386213E-2</v>
      </c>
      <c r="AR95" s="1099">
        <f t="shared" si="68"/>
        <v>1.2099213551119177E-2</v>
      </c>
      <c r="AS95" s="1293">
        <f t="shared" si="68"/>
        <v>1.4457831325301205E-2</v>
      </c>
      <c r="AT95" s="3744">
        <f t="shared" si="68"/>
        <v>0.18797150041911148</v>
      </c>
      <c r="AU95" s="3745"/>
      <c r="AV95" s="2988">
        <v>1.9800000000000002E-2</v>
      </c>
      <c r="AW95" s="2982">
        <v>2.29E-2</v>
      </c>
      <c r="AX95" s="2982">
        <v>1.83E-2</v>
      </c>
      <c r="AY95" s="2982">
        <v>2.23E-2</v>
      </c>
      <c r="AZ95" s="2982">
        <v>2.87E-2</v>
      </c>
      <c r="BA95" s="2982">
        <v>1.9900000000000001E-2</v>
      </c>
      <c r="BB95" s="2982">
        <v>2.2800000000000001E-2</v>
      </c>
      <c r="BC95" s="2982">
        <v>1.2800000000000001E-2</v>
      </c>
      <c r="BD95" s="2982">
        <v>1.1299999999999999E-2</v>
      </c>
      <c r="BE95" s="2982">
        <v>1.2699999999999999E-2</v>
      </c>
      <c r="BF95" s="2982">
        <v>1.01E-2</v>
      </c>
      <c r="BG95" s="2983">
        <v>9.4000000000000004E-3</v>
      </c>
      <c r="BH95" s="3744">
        <v>0.20899999999999999</v>
      </c>
      <c r="BI95" s="3745"/>
    </row>
    <row r="96" spans="1:62">
      <c r="A96" s="912" t="s">
        <v>611</v>
      </c>
      <c r="B96" s="1598" t="s">
        <v>252</v>
      </c>
      <c r="C96" s="1602" t="s">
        <v>252</v>
      </c>
      <c r="D96" s="1293">
        <f t="shared" ref="D96:O96" si="69">IFERROR(D72/D22,0)</f>
        <v>6.1517429938482571E-3</v>
      </c>
      <c r="E96" s="1099">
        <f t="shared" si="69"/>
        <v>5.4869684499314125E-3</v>
      </c>
      <c r="F96" s="1099">
        <f t="shared" si="69"/>
        <v>6.1643835616438354E-3</v>
      </c>
      <c r="G96" s="1099">
        <f t="shared" si="69"/>
        <v>1.1707988980716254E-2</v>
      </c>
      <c r="H96" s="1099">
        <f t="shared" si="69"/>
        <v>1.8947368421052633E-2</v>
      </c>
      <c r="I96" s="1099">
        <f t="shared" si="69"/>
        <v>1.3581129378127233E-2</v>
      </c>
      <c r="J96" s="1099">
        <f t="shared" si="69"/>
        <v>2.663786897048236E-2</v>
      </c>
      <c r="K96" s="1099">
        <f t="shared" si="69"/>
        <v>7.3367571533382242E-3</v>
      </c>
      <c r="L96" s="1099">
        <f t="shared" si="69"/>
        <v>9.558232931726908E-2</v>
      </c>
      <c r="M96" s="1099">
        <f t="shared" si="69"/>
        <v>8.9942763695829934E-3</v>
      </c>
      <c r="N96" s="1099">
        <f t="shared" si="69"/>
        <v>1.6474464579901153E-2</v>
      </c>
      <c r="O96" s="1477">
        <f t="shared" si="69"/>
        <v>6.8106312292358806E-2</v>
      </c>
      <c r="P96" s="3738">
        <f t="shared" si="63"/>
        <v>0.27100337526848722</v>
      </c>
      <c r="Q96" s="3739"/>
      <c r="R96" s="3746" t="s">
        <v>252</v>
      </c>
      <c r="S96" s="3747"/>
      <c r="T96" s="1293">
        <f t="shared" ref="T96:AF96" si="70">IFERROR(T72/T22,0)</f>
        <v>1.1774600504625737E-2</v>
      </c>
      <c r="U96" s="1099">
        <f t="shared" si="70"/>
        <v>9.6463022508038593E-3</v>
      </c>
      <c r="V96" s="1099">
        <f t="shared" si="70"/>
        <v>1.7940717628705149E-2</v>
      </c>
      <c r="W96" s="1099">
        <f t="shared" si="70"/>
        <v>1.7557251908396947E-2</v>
      </c>
      <c r="X96" s="1099">
        <f t="shared" si="70"/>
        <v>1.7280240420736288E-2</v>
      </c>
      <c r="Y96" s="1099">
        <f t="shared" si="70"/>
        <v>1.6320474777448073E-2</v>
      </c>
      <c r="Z96" s="1099">
        <f t="shared" si="70"/>
        <v>1.5895953757225433E-2</v>
      </c>
      <c r="AA96" s="1099">
        <f t="shared" si="70"/>
        <v>1.8452803406671398E-2</v>
      </c>
      <c r="AB96" s="1099">
        <f t="shared" si="70"/>
        <v>2.3554603854389723E-2</v>
      </c>
      <c r="AC96" s="1099">
        <f t="shared" si="70"/>
        <v>1.6106442577030811E-2</v>
      </c>
      <c r="AD96" s="1099">
        <f t="shared" si="70"/>
        <v>1.2439530062197651E-2</v>
      </c>
      <c r="AE96" s="1292">
        <f t="shared" si="70"/>
        <v>1.7759562841530054E-2</v>
      </c>
      <c r="AF96" s="3738">
        <f t="shared" si="70"/>
        <v>0.19584898688181315</v>
      </c>
      <c r="AG96" s="3739"/>
      <c r="AH96" s="1292">
        <f t="shared" ref="AH96:AT96" si="71">IFERROR(AH72/AH22,0)</f>
        <v>1.3271400132714002E-2</v>
      </c>
      <c r="AI96" s="1099">
        <f t="shared" si="71"/>
        <v>1.2434554973821989E-2</v>
      </c>
      <c r="AJ96" s="1099">
        <f t="shared" si="71"/>
        <v>1.6861219195849545E-2</v>
      </c>
      <c r="AK96" s="1099">
        <f t="shared" si="71"/>
        <v>8.3386786401539442E-3</v>
      </c>
      <c r="AL96" s="1099">
        <f t="shared" si="71"/>
        <v>7.028753993610224E-3</v>
      </c>
      <c r="AM96" s="1099">
        <f t="shared" si="71"/>
        <v>9.5177664974619297E-3</v>
      </c>
      <c r="AN96" s="1099">
        <f t="shared" si="71"/>
        <v>1.0705289672544081E-2</v>
      </c>
      <c r="AO96" s="1099">
        <f t="shared" si="71"/>
        <v>6.8621334996880846E-3</v>
      </c>
      <c r="AP96" s="1099">
        <f t="shared" si="71"/>
        <v>9.9937539038101181E-3</v>
      </c>
      <c r="AQ96" s="1099">
        <f t="shared" si="71"/>
        <v>9.3109869646182501E-3</v>
      </c>
      <c r="AR96" s="1099">
        <f t="shared" si="71"/>
        <v>1.1049723756906077E-2</v>
      </c>
      <c r="AS96" s="1293">
        <f t="shared" si="71"/>
        <v>6.0422960725075529E-3</v>
      </c>
      <c r="AT96" s="3738">
        <f t="shared" si="71"/>
        <v>0.12086057793714407</v>
      </c>
      <c r="AU96" s="3739"/>
      <c r="AV96" s="2988">
        <v>0.02</v>
      </c>
      <c r="AW96" s="2982">
        <v>1.04E-2</v>
      </c>
      <c r="AX96" s="2982">
        <v>1.1299999999999999E-2</v>
      </c>
      <c r="AY96" s="2982">
        <v>9.5999999999999992E-3</v>
      </c>
      <c r="AZ96" s="2982">
        <v>1.6899999999999998E-2</v>
      </c>
      <c r="BA96" s="2982">
        <v>1.78E-2</v>
      </c>
      <c r="BB96" s="2982">
        <v>1.4E-2</v>
      </c>
      <c r="BC96" s="2982">
        <v>8.2000000000000007E-3</v>
      </c>
      <c r="BD96" s="2982">
        <v>1.2200000000000001E-2</v>
      </c>
      <c r="BE96" s="2982">
        <v>1.0699999999999999E-2</v>
      </c>
      <c r="BF96" s="2982">
        <v>1.01E-2</v>
      </c>
      <c r="BG96" s="2983">
        <v>1.0500000000000001E-2</v>
      </c>
      <c r="BH96" s="3738">
        <v>0.151</v>
      </c>
      <c r="BI96" s="3739"/>
    </row>
    <row r="97" spans="1:61">
      <c r="A97" s="912" t="s">
        <v>612</v>
      </c>
      <c r="B97" s="1598" t="s">
        <v>252</v>
      </c>
      <c r="C97" s="1602" t="s">
        <v>252</v>
      </c>
      <c r="D97" s="1293">
        <f t="shared" ref="D97:O97" si="72">IFERROR(D73/D23,0)</f>
        <v>3.4013605442176869E-3</v>
      </c>
      <c r="E97" s="1099">
        <f t="shared" si="72"/>
        <v>1.1527377521613832E-2</v>
      </c>
      <c r="F97" s="1099">
        <f t="shared" si="72"/>
        <v>2.8918449971081549E-3</v>
      </c>
      <c r="G97" s="1099">
        <f t="shared" si="72"/>
        <v>9.8665118978525819E-3</v>
      </c>
      <c r="H97" s="1099">
        <f t="shared" si="72"/>
        <v>1.5339233038348082E-2</v>
      </c>
      <c r="I97" s="1099">
        <f t="shared" si="72"/>
        <v>1.4925373134328358E-2</v>
      </c>
      <c r="J97" s="1099">
        <f t="shared" si="72"/>
        <v>2.4818401937046004E-2</v>
      </c>
      <c r="K97" s="1099">
        <f t="shared" si="72"/>
        <v>1.0559006211180125E-2</v>
      </c>
      <c r="L97" s="1099">
        <f t="shared" si="72"/>
        <v>0.1270949720670391</v>
      </c>
      <c r="M97" s="1099">
        <f t="shared" si="72"/>
        <v>9.9361249112845992E-3</v>
      </c>
      <c r="N97" s="1099">
        <f t="shared" si="72"/>
        <v>1.5838732901367891E-2</v>
      </c>
      <c r="O97" s="1481">
        <f t="shared" si="72"/>
        <v>6.9241982507288635E-2</v>
      </c>
      <c r="P97" s="3738">
        <f t="shared" si="63"/>
        <v>0.2939796716184519</v>
      </c>
      <c r="Q97" s="3739"/>
      <c r="R97" s="3746" t="s">
        <v>252</v>
      </c>
      <c r="S97" s="3747"/>
      <c r="T97" s="1293">
        <f t="shared" ref="T97:AF97" si="73">IFERROR(T73/T23,0)</f>
        <v>8.1632653061224497E-3</v>
      </c>
      <c r="U97" s="1099">
        <f t="shared" si="73"/>
        <v>1.2588512981904013E-2</v>
      </c>
      <c r="V97" s="1099">
        <f t="shared" si="73"/>
        <v>2.1521906225980016E-2</v>
      </c>
      <c r="W97" s="1099">
        <f t="shared" si="73"/>
        <v>2.1132075471698115E-2</v>
      </c>
      <c r="X97" s="1099">
        <f t="shared" si="73"/>
        <v>1.4074074074074074E-2</v>
      </c>
      <c r="Y97" s="1099">
        <f t="shared" si="73"/>
        <v>2.4462564862861379E-2</v>
      </c>
      <c r="Z97" s="1099">
        <f t="shared" si="73"/>
        <v>1.5362106803218726E-2</v>
      </c>
      <c r="AA97" s="1099">
        <f t="shared" si="73"/>
        <v>1.2265512265512266E-2</v>
      </c>
      <c r="AB97" s="1099">
        <f t="shared" si="73"/>
        <v>1.4461315979754157E-2</v>
      </c>
      <c r="AC97" s="1099">
        <f t="shared" si="73"/>
        <v>1.065340909090909E-2</v>
      </c>
      <c r="AD97" s="1099">
        <f t="shared" si="73"/>
        <v>1.771793054571226E-2</v>
      </c>
      <c r="AE97" s="1293">
        <f t="shared" si="73"/>
        <v>1.3130615065653075E-2</v>
      </c>
      <c r="AF97" s="3738">
        <f t="shared" si="73"/>
        <v>0.18566233125809037</v>
      </c>
      <c r="AG97" s="3739"/>
      <c r="AH97" s="1292">
        <f t="shared" ref="AH97:AT97" si="74">IFERROR(AH73/AH23,0)</f>
        <v>1.3513513513513514E-2</v>
      </c>
      <c r="AI97" s="1099">
        <f t="shared" si="74"/>
        <v>1.5946843853820596E-2</v>
      </c>
      <c r="AJ97" s="1099">
        <f t="shared" si="74"/>
        <v>1.1936339522546418E-2</v>
      </c>
      <c r="AK97" s="1099">
        <f t="shared" si="74"/>
        <v>9.9009900990099011E-3</v>
      </c>
      <c r="AL97" s="1099">
        <f t="shared" si="74"/>
        <v>1.6611295681063124E-2</v>
      </c>
      <c r="AM97" s="1099">
        <f t="shared" si="74"/>
        <v>8.580858085808581E-3</v>
      </c>
      <c r="AN97" s="1099">
        <f t="shared" si="74"/>
        <v>8.4635416666666661E-3</v>
      </c>
      <c r="AO97" s="1099">
        <f t="shared" si="74"/>
        <v>1.3054830287206266E-2</v>
      </c>
      <c r="AP97" s="1099">
        <f t="shared" si="74"/>
        <v>7.246376811594203E-3</v>
      </c>
      <c r="AQ97" s="1099">
        <f t="shared" si="74"/>
        <v>1.0396361273554255E-2</v>
      </c>
      <c r="AR97" s="1099">
        <f t="shared" si="74"/>
        <v>8.9743589743589737E-3</v>
      </c>
      <c r="AS97" s="1293">
        <f t="shared" si="74"/>
        <v>1.5453960077269801E-2</v>
      </c>
      <c r="AT97" s="3738">
        <f t="shared" si="74"/>
        <v>0.13993211431074126</v>
      </c>
      <c r="AU97" s="3739"/>
      <c r="AV97" s="2988">
        <v>1.1900000000000001E-2</v>
      </c>
      <c r="AW97" s="2982">
        <v>1.37E-2</v>
      </c>
      <c r="AX97" s="2982">
        <v>1.43E-2</v>
      </c>
      <c r="AY97" s="2982">
        <v>8.5000000000000006E-3</v>
      </c>
      <c r="AZ97" s="2982">
        <v>8.9999999999999993E-3</v>
      </c>
      <c r="BA97" s="2982">
        <v>1.26E-2</v>
      </c>
      <c r="BB97" s="2982">
        <v>1.0699999999999999E-2</v>
      </c>
      <c r="BC97" s="2982">
        <v>5.8999999999999999E-3</v>
      </c>
      <c r="BD97" s="2982">
        <v>0.01</v>
      </c>
      <c r="BE97" s="2982">
        <v>1.23E-2</v>
      </c>
      <c r="BF97" s="2982">
        <v>7.6E-3</v>
      </c>
      <c r="BG97" s="2983">
        <v>1.04E-2</v>
      </c>
      <c r="BH97" s="3738">
        <v>0.126</v>
      </c>
      <c r="BI97" s="3739"/>
    </row>
    <row r="98" spans="1:61">
      <c r="A98" s="912" t="s">
        <v>613</v>
      </c>
      <c r="B98" s="1598" t="s">
        <v>252</v>
      </c>
      <c r="C98" s="1602" t="s">
        <v>252</v>
      </c>
      <c r="D98" s="1293">
        <f t="shared" ref="D98:O98" si="75">IFERROR(D74/D24,0)</f>
        <v>7.763975155279503E-3</v>
      </c>
      <c r="E98" s="1099">
        <f t="shared" si="75"/>
        <v>1.6419077404222049E-2</v>
      </c>
      <c r="F98" s="1099">
        <f t="shared" si="75"/>
        <v>7.0202808112324495E-3</v>
      </c>
      <c r="G98" s="1099">
        <f t="shared" si="75"/>
        <v>1.4173228346456693E-2</v>
      </c>
      <c r="H98" s="1099">
        <f t="shared" si="75"/>
        <v>1.3492063492063493E-2</v>
      </c>
      <c r="I98" s="1099">
        <f t="shared" si="75"/>
        <v>1.5175718849840255E-2</v>
      </c>
      <c r="J98" s="1099">
        <f t="shared" si="75"/>
        <v>2.4252223120452707E-2</v>
      </c>
      <c r="K98" s="1099">
        <f t="shared" si="75"/>
        <v>1.3190436933223413E-2</v>
      </c>
      <c r="L98" s="1099">
        <f t="shared" si="75"/>
        <v>0.21365853658536585</v>
      </c>
      <c r="M98" s="1099">
        <f t="shared" si="75"/>
        <v>1.0040160642570281E-2</v>
      </c>
      <c r="N98" s="1099">
        <f t="shared" si="75"/>
        <v>1.7223910840932118E-2</v>
      </c>
      <c r="O98" s="1477">
        <f t="shared" si="75"/>
        <v>8.9808274470232083E-2</v>
      </c>
      <c r="P98" s="3738">
        <f t="shared" si="63"/>
        <v>0.40482954545454547</v>
      </c>
      <c r="Q98" s="3739"/>
      <c r="R98" s="3746" t="s">
        <v>252</v>
      </c>
      <c r="S98" s="3747"/>
      <c r="T98" s="1293">
        <f t="shared" ref="T98:AF98" si="76">IFERROR(T74/T24,0)</f>
        <v>8.4825636192271438E-3</v>
      </c>
      <c r="U98" s="1099">
        <f t="shared" si="76"/>
        <v>7.2332730560578659E-3</v>
      </c>
      <c r="V98" s="1099">
        <f t="shared" si="76"/>
        <v>1.3157894736842105E-2</v>
      </c>
      <c r="W98" s="1099">
        <f t="shared" si="76"/>
        <v>1.7376194613379671E-2</v>
      </c>
      <c r="X98" s="1099">
        <f t="shared" si="76"/>
        <v>1.2842465753424657E-2</v>
      </c>
      <c r="Y98" s="1099">
        <f t="shared" si="76"/>
        <v>2.6064291920069503E-2</v>
      </c>
      <c r="Z98" s="1099">
        <f t="shared" si="76"/>
        <v>1.4642549526270457E-2</v>
      </c>
      <c r="AA98" s="1099">
        <f t="shared" si="76"/>
        <v>1.7241379310344827E-2</v>
      </c>
      <c r="AB98" s="1099">
        <f t="shared" si="76"/>
        <v>1.3876843018213356E-2</v>
      </c>
      <c r="AC98" s="1099">
        <f t="shared" si="76"/>
        <v>8.5034013605442185E-3</v>
      </c>
      <c r="AD98" s="1099">
        <f t="shared" si="76"/>
        <v>1.1774600504625737E-2</v>
      </c>
      <c r="AE98" s="1292">
        <f t="shared" si="76"/>
        <v>2.1684737281067557E-2</v>
      </c>
      <c r="AF98" s="3738">
        <f t="shared" si="76"/>
        <v>0.17372421281216069</v>
      </c>
      <c r="AG98" s="3739"/>
      <c r="AH98" s="1292">
        <f t="shared" ref="AH98:AT98" si="77">IFERROR(AH74/AH24,0)</f>
        <v>1.2396694214876033E-2</v>
      </c>
      <c r="AI98" s="1099">
        <f t="shared" si="77"/>
        <v>1.7842660178426603E-2</v>
      </c>
      <c r="AJ98" s="1099">
        <f t="shared" si="77"/>
        <v>1.2976480129764802E-2</v>
      </c>
      <c r="AK98" s="1099">
        <f t="shared" si="77"/>
        <v>9.5693779904306216E-3</v>
      </c>
      <c r="AL98" s="1099">
        <f t="shared" si="77"/>
        <v>8.7649402390438252E-3</v>
      </c>
      <c r="AM98" s="1099">
        <f t="shared" si="77"/>
        <v>1.6012810248198558E-2</v>
      </c>
      <c r="AN98" s="1099">
        <f t="shared" si="77"/>
        <v>1.1980830670926517E-2</v>
      </c>
      <c r="AO98" s="1099">
        <f t="shared" si="77"/>
        <v>9.4786729857819912E-3</v>
      </c>
      <c r="AP98" s="1099">
        <f t="shared" si="77"/>
        <v>8.7025316455696198E-3</v>
      </c>
      <c r="AQ98" s="1099">
        <f t="shared" si="77"/>
        <v>1.0212097407698351E-2</v>
      </c>
      <c r="AR98" s="1099">
        <f t="shared" si="77"/>
        <v>1.0148321623731461E-2</v>
      </c>
      <c r="AS98" s="1293">
        <f t="shared" si="77"/>
        <v>1.6936104695919937E-2</v>
      </c>
      <c r="AT98" s="3738">
        <f t="shared" si="77"/>
        <v>0.14493330678877164</v>
      </c>
      <c r="AU98" s="3739"/>
      <c r="AV98" s="2988">
        <v>6.7000000000000002E-3</v>
      </c>
      <c r="AW98" s="2982">
        <v>9.9000000000000008E-3</v>
      </c>
      <c r="AX98" s="2982">
        <v>1.7299999999999999E-2</v>
      </c>
      <c r="AY98" s="2982">
        <v>6.0000000000000001E-3</v>
      </c>
      <c r="AZ98" s="2982">
        <v>9.1999999999999998E-3</v>
      </c>
      <c r="BA98" s="2982">
        <v>1.11E-2</v>
      </c>
      <c r="BB98" s="2982">
        <v>1.4500000000000001E-2</v>
      </c>
      <c r="BC98" s="2982">
        <v>1.1900000000000001E-2</v>
      </c>
      <c r="BD98" s="2982">
        <v>0.01</v>
      </c>
      <c r="BE98" s="2982">
        <v>7.3000000000000001E-3</v>
      </c>
      <c r="BF98" s="2982">
        <v>7.3000000000000001E-3</v>
      </c>
      <c r="BG98" s="2983">
        <v>7.9000000000000008E-3</v>
      </c>
      <c r="BH98" s="3738">
        <v>0.11899999999999999</v>
      </c>
      <c r="BI98" s="3739"/>
    </row>
    <row r="99" spans="1:61" ht="12.6" thickBot="1">
      <c r="A99" s="911" t="s">
        <v>614</v>
      </c>
      <c r="B99" s="1601" t="s">
        <v>252</v>
      </c>
      <c r="C99" s="1596" t="s">
        <v>252</v>
      </c>
      <c r="D99" s="1475">
        <f t="shared" ref="D99:O99" si="78">IFERROR(D75/D25,0)</f>
        <v>5.7471264367816091E-3</v>
      </c>
      <c r="E99" s="1469">
        <f t="shared" si="78"/>
        <v>2.2857142857142857E-2</v>
      </c>
      <c r="F99" s="1469">
        <f t="shared" si="78"/>
        <v>0</v>
      </c>
      <c r="G99" s="1469">
        <f t="shared" si="78"/>
        <v>1.0752688172043012E-2</v>
      </c>
      <c r="H99" s="1469">
        <f t="shared" si="78"/>
        <v>2.6737967914438502E-2</v>
      </c>
      <c r="I99" s="1469">
        <f t="shared" si="78"/>
        <v>2.7777777777777776E-2</v>
      </c>
      <c r="J99" s="1469">
        <f t="shared" si="78"/>
        <v>2.1621621621621623E-2</v>
      </c>
      <c r="K99" s="1469">
        <f t="shared" si="78"/>
        <v>2.1505376344086023E-2</v>
      </c>
      <c r="L99" s="1469">
        <f t="shared" si="78"/>
        <v>0.55284552845528456</v>
      </c>
      <c r="M99" s="1469">
        <f t="shared" si="78"/>
        <v>2.4590163934426229E-2</v>
      </c>
      <c r="N99" s="1469">
        <f t="shared" si="78"/>
        <v>1.6E-2</v>
      </c>
      <c r="O99" s="1482">
        <f t="shared" si="78"/>
        <v>0.104</v>
      </c>
      <c r="P99" s="3736">
        <f t="shared" si="63"/>
        <v>0.68272680676576114</v>
      </c>
      <c r="Q99" s="3737"/>
      <c r="R99" s="3736" t="s">
        <v>252</v>
      </c>
      <c r="S99" s="3737"/>
      <c r="T99" s="1475">
        <f t="shared" ref="T99:AF99" si="79">IFERROR(T75/T25,0)</f>
        <v>5.7803468208092483E-3</v>
      </c>
      <c r="U99" s="1469">
        <f t="shared" si="79"/>
        <v>2.7624309392265192E-2</v>
      </c>
      <c r="V99" s="1469">
        <f t="shared" si="79"/>
        <v>2.2222222222222223E-2</v>
      </c>
      <c r="W99" s="1469">
        <f t="shared" si="79"/>
        <v>1.6574585635359115E-2</v>
      </c>
      <c r="X99" s="1469">
        <f t="shared" si="79"/>
        <v>4.736842105263158E-2</v>
      </c>
      <c r="Y99" s="1469">
        <f t="shared" si="79"/>
        <v>2.1164021164021163E-2</v>
      </c>
      <c r="Z99" s="1469">
        <f t="shared" si="79"/>
        <v>3.825136612021858E-2</v>
      </c>
      <c r="AA99" s="1469">
        <f t="shared" si="79"/>
        <v>0.13333333333333333</v>
      </c>
      <c r="AB99" s="1469">
        <f t="shared" si="79"/>
        <v>2.247191011235955E-2</v>
      </c>
      <c r="AC99" s="1469">
        <f t="shared" si="79"/>
        <v>2.23463687150838E-2</v>
      </c>
      <c r="AD99" s="1469">
        <f t="shared" si="79"/>
        <v>2.2727272727272728E-2</v>
      </c>
      <c r="AE99" s="1484">
        <f t="shared" si="79"/>
        <v>5.8823529411764705E-2</v>
      </c>
      <c r="AF99" s="3736">
        <f t="shared" si="79"/>
        <v>0.43888888888888888</v>
      </c>
      <c r="AG99" s="3737"/>
      <c r="AH99" s="1484">
        <f t="shared" ref="AH99:AT99" si="80">IFERROR(AH75/AH25,0)</f>
        <v>1.2578616352201259E-2</v>
      </c>
      <c r="AI99" s="1469">
        <f t="shared" si="80"/>
        <v>3.125E-2</v>
      </c>
      <c r="AJ99" s="1469">
        <f t="shared" si="80"/>
        <v>2.3121387283236993E-2</v>
      </c>
      <c r="AK99" s="1469">
        <f t="shared" si="80"/>
        <v>2.3529411764705882E-2</v>
      </c>
      <c r="AL99" s="1469">
        <f t="shared" si="80"/>
        <v>2.8571428571428571E-2</v>
      </c>
      <c r="AM99" s="1469">
        <f t="shared" si="80"/>
        <v>1.1049723756906077E-2</v>
      </c>
      <c r="AN99" s="1469">
        <f t="shared" si="80"/>
        <v>1.6393442622950821E-2</v>
      </c>
      <c r="AO99" s="1469">
        <f t="shared" si="80"/>
        <v>1.6129032258064516E-2</v>
      </c>
      <c r="AP99" s="1469">
        <f t="shared" si="80"/>
        <v>1.5789473684210527E-2</v>
      </c>
      <c r="AQ99" s="1469">
        <f t="shared" si="80"/>
        <v>1.0526315789473684E-2</v>
      </c>
      <c r="AR99" s="1469">
        <f t="shared" si="80"/>
        <v>1.015228426395939E-2</v>
      </c>
      <c r="AS99" s="1475">
        <f t="shared" si="80"/>
        <v>3.5000000000000003E-2</v>
      </c>
      <c r="AT99" s="3736">
        <f t="shared" si="80"/>
        <v>0.23290203327171902</v>
      </c>
      <c r="AU99" s="3737"/>
      <c r="AV99" s="2989">
        <v>2.5899999999999999E-2</v>
      </c>
      <c r="AW99" s="2985">
        <v>2.2499999999999999E-2</v>
      </c>
      <c r="AX99" s="2985">
        <v>3.7000000000000002E-3</v>
      </c>
      <c r="AY99" s="2985">
        <v>1.8700000000000001E-2</v>
      </c>
      <c r="AZ99" s="2985">
        <v>3.0700000000000002E-2</v>
      </c>
      <c r="BA99" s="2985">
        <v>1.95E-2</v>
      </c>
      <c r="BB99" s="2985">
        <v>1.9800000000000002E-2</v>
      </c>
      <c r="BC99" s="2985">
        <v>2.4299999999999999E-2</v>
      </c>
      <c r="BD99" s="2985">
        <v>2.07E-2</v>
      </c>
      <c r="BE99" s="2985">
        <v>2.98E-2</v>
      </c>
      <c r="BF99" s="2985">
        <v>4.3E-3</v>
      </c>
      <c r="BG99" s="2986">
        <v>1.72E-2</v>
      </c>
      <c r="BH99" s="3736">
        <v>0.23699999999999999</v>
      </c>
      <c r="BI99" s="3737"/>
    </row>
    <row r="100" spans="1:61">
      <c r="A100" s="698"/>
      <c r="B100" s="698"/>
      <c r="C100" s="698"/>
    </row>
    <row r="102" spans="1:61" ht="13.15">
      <c r="B102" s="893" t="s">
        <v>623</v>
      </c>
      <c r="C102" s="689"/>
      <c r="D102" s="689"/>
      <c r="E102" s="689"/>
      <c r="F102" s="689"/>
      <c r="G102" s="689"/>
      <c r="H102" s="689"/>
      <c r="I102" s="689"/>
      <c r="J102" s="689"/>
      <c r="K102" s="689"/>
      <c r="L102" s="689"/>
      <c r="M102" s="689"/>
      <c r="N102" s="689"/>
      <c r="O102" s="689"/>
      <c r="P102" s="689"/>
      <c r="Q102" s="689"/>
      <c r="R102" s="689"/>
      <c r="S102" s="689"/>
      <c r="T102" s="689"/>
      <c r="U102" s="689"/>
      <c r="V102" s="689"/>
      <c r="W102" s="689"/>
      <c r="X102" s="689"/>
      <c r="Y102" s="689"/>
      <c r="Z102" s="689"/>
      <c r="AA102" s="689"/>
      <c r="AB102" s="689"/>
      <c r="AC102" s="689"/>
      <c r="AD102" s="689"/>
      <c r="AE102" s="689"/>
      <c r="AF102" s="689"/>
      <c r="AG102" s="689"/>
      <c r="AH102" s="689"/>
      <c r="AI102" s="689"/>
      <c r="AJ102" s="689"/>
      <c r="AK102" s="689"/>
      <c r="AL102" s="689"/>
      <c r="AM102" s="689"/>
      <c r="AN102" s="689"/>
      <c r="AO102" s="689"/>
      <c r="AP102" s="689"/>
      <c r="AQ102" s="689"/>
      <c r="AT102" s="689"/>
      <c r="AU102" s="689"/>
      <c r="AV102" s="689"/>
      <c r="AW102" s="689"/>
      <c r="AX102" s="689"/>
      <c r="AY102" s="689"/>
      <c r="AZ102" s="689"/>
      <c r="BA102" s="689"/>
      <c r="BB102" s="689"/>
      <c r="BC102" s="689"/>
      <c r="BD102" s="689"/>
      <c r="BE102" s="689"/>
      <c r="BH102" s="689"/>
      <c r="BI102" s="689"/>
    </row>
    <row r="103" spans="1:61" ht="13.15" customHeight="1">
      <c r="B103" s="3767" t="s">
        <v>624</v>
      </c>
      <c r="C103" s="3768"/>
      <c r="D103" s="3768"/>
      <c r="E103" s="3768"/>
      <c r="F103" s="3768"/>
      <c r="G103" s="3768"/>
      <c r="H103" s="3768"/>
      <c r="I103" s="3768"/>
      <c r="J103" s="3768"/>
      <c r="K103" s="3768"/>
      <c r="L103" s="3768"/>
      <c r="M103" s="3768"/>
      <c r="N103" s="3768"/>
      <c r="O103" s="3768"/>
      <c r="P103" s="3768"/>
      <c r="Q103" s="3768"/>
      <c r="R103" s="3768"/>
      <c r="S103" s="3768"/>
      <c r="T103" s="3768"/>
      <c r="U103" s="3768"/>
      <c r="V103" s="3768"/>
      <c r="W103" s="3768"/>
      <c r="X103" s="3768"/>
      <c r="Y103" s="3768"/>
      <c r="Z103" s="3768"/>
      <c r="AA103" s="3768"/>
      <c r="AB103" s="3768"/>
      <c r="AC103" s="3768"/>
      <c r="AD103" s="3768"/>
      <c r="AE103" s="3768"/>
      <c r="AF103" s="3768"/>
      <c r="AG103" s="3768"/>
      <c r="AH103" s="1439"/>
      <c r="AI103" s="1439"/>
      <c r="AJ103" s="1439"/>
      <c r="AK103" s="1439"/>
      <c r="AL103" s="1439"/>
      <c r="AM103" s="1439"/>
      <c r="AN103" s="1439"/>
      <c r="AO103" s="1439"/>
      <c r="AP103" s="1439"/>
      <c r="AQ103" s="1439"/>
      <c r="AR103" s="1439"/>
      <c r="AS103" s="1439"/>
      <c r="AT103" s="1439"/>
      <c r="AU103" s="1439"/>
      <c r="AV103" s="1439"/>
      <c r="AW103" s="1439"/>
      <c r="AX103" s="1439"/>
      <c r="AY103" s="1439"/>
      <c r="AZ103" s="1439"/>
      <c r="BA103" s="1439"/>
      <c r="BB103" s="1439"/>
      <c r="BC103" s="1439"/>
      <c r="BD103" s="1439"/>
      <c r="BE103" s="1439"/>
      <c r="BF103" s="1439"/>
      <c r="BG103" s="1439"/>
      <c r="BH103" s="1439"/>
      <c r="BI103" s="1439"/>
    </row>
    <row r="104" spans="1:61" ht="13.15" customHeight="1">
      <c r="B104" s="3768"/>
      <c r="C104" s="3768"/>
      <c r="D104" s="3768"/>
      <c r="E104" s="3768"/>
      <c r="F104" s="3768"/>
      <c r="G104" s="3768"/>
      <c r="H104" s="3768"/>
      <c r="I104" s="3768"/>
      <c r="J104" s="3768"/>
      <c r="K104" s="3768"/>
      <c r="L104" s="3768"/>
      <c r="M104" s="3768"/>
      <c r="N104" s="3768"/>
      <c r="O104" s="3768"/>
      <c r="P104" s="3768"/>
      <c r="Q104" s="3768"/>
      <c r="R104" s="3768"/>
      <c r="S104" s="3768"/>
      <c r="T104" s="3768"/>
      <c r="U104" s="3768"/>
      <c r="V104" s="3768"/>
      <c r="W104" s="3768"/>
      <c r="X104" s="3768"/>
      <c r="Y104" s="3768"/>
      <c r="Z104" s="3768"/>
      <c r="AA104" s="3768"/>
      <c r="AB104" s="3768"/>
      <c r="AC104" s="3768"/>
      <c r="AD104" s="3768"/>
      <c r="AE104" s="3768"/>
      <c r="AF104" s="3768"/>
      <c r="AG104" s="3768"/>
      <c r="AH104" s="1439"/>
      <c r="AI104" s="1439"/>
      <c r="AJ104" s="1439"/>
      <c r="AK104" s="1439"/>
      <c r="AL104" s="1439"/>
      <c r="AM104" s="1439"/>
      <c r="AN104" s="1439"/>
      <c r="AO104" s="1439"/>
      <c r="AP104" s="1439"/>
      <c r="AQ104" s="1439"/>
      <c r="AR104" s="1439"/>
      <c r="AS104" s="1439"/>
      <c r="AT104" s="1439"/>
      <c r="AU104" s="1439"/>
      <c r="AV104" s="1439"/>
      <c r="AW104" s="1439"/>
      <c r="AX104" s="1439"/>
      <c r="AY104" s="1439"/>
      <c r="AZ104" s="1439"/>
      <c r="BA104" s="1439"/>
      <c r="BB104" s="1439"/>
      <c r="BC104" s="1439"/>
      <c r="BD104" s="1439"/>
      <c r="BE104" s="1439"/>
      <c r="BF104" s="1439"/>
      <c r="BG104" s="1439"/>
      <c r="BH104" s="1439"/>
      <c r="BI104" s="1439"/>
    </row>
    <row r="105" spans="1:61" ht="11.65" customHeight="1">
      <c r="B105" s="3768"/>
      <c r="C105" s="3768"/>
      <c r="D105" s="3768"/>
      <c r="E105" s="3768"/>
      <c r="F105" s="3768"/>
      <c r="G105" s="3768"/>
      <c r="H105" s="3768"/>
      <c r="I105" s="3768"/>
      <c r="J105" s="3768"/>
      <c r="K105" s="3768"/>
      <c r="L105" s="3768"/>
      <c r="M105" s="3768"/>
      <c r="N105" s="3768"/>
      <c r="O105" s="3768"/>
      <c r="P105" s="3768"/>
      <c r="Q105" s="3768"/>
      <c r="R105" s="3768"/>
      <c r="S105" s="3768"/>
      <c r="T105" s="3768"/>
      <c r="U105" s="3768"/>
      <c r="V105" s="3768"/>
      <c r="W105" s="3768"/>
      <c r="X105" s="3768"/>
      <c r="Y105" s="3768"/>
      <c r="Z105" s="3768"/>
      <c r="AA105" s="3768"/>
      <c r="AB105" s="3768"/>
      <c r="AC105" s="3768"/>
      <c r="AD105" s="3768"/>
      <c r="AE105" s="3768"/>
      <c r="AF105" s="3768"/>
      <c r="AG105" s="3768"/>
      <c r="AH105" s="1439"/>
      <c r="AI105" s="1439"/>
      <c r="AJ105" s="1439"/>
      <c r="AK105" s="1439"/>
      <c r="AL105" s="1439"/>
      <c r="AM105" s="1439"/>
      <c r="AN105" s="1439"/>
      <c r="AO105" s="1439"/>
      <c r="AP105" s="1439"/>
      <c r="AQ105" s="1439"/>
      <c r="AR105" s="1439"/>
      <c r="AS105" s="1439"/>
      <c r="AT105" s="1439"/>
      <c r="AU105" s="1439"/>
      <c r="AV105" s="1439"/>
      <c r="AW105" s="1439"/>
      <c r="AX105" s="1439"/>
      <c r="AY105" s="1439"/>
      <c r="AZ105" s="1439"/>
      <c r="BA105" s="1439"/>
      <c r="BB105" s="1439"/>
      <c r="BC105" s="1439"/>
      <c r="BD105" s="1439"/>
      <c r="BE105" s="1439"/>
      <c r="BF105" s="1439"/>
      <c r="BG105" s="1439"/>
      <c r="BH105" s="1439"/>
      <c r="BI105" s="1439"/>
    </row>
    <row r="106" spans="1:61" ht="11.65" customHeight="1">
      <c r="B106" s="3768"/>
      <c r="C106" s="3768"/>
      <c r="D106" s="3768"/>
      <c r="E106" s="3768"/>
      <c r="F106" s="3768"/>
      <c r="G106" s="3768"/>
      <c r="H106" s="3768"/>
      <c r="I106" s="3768"/>
      <c r="J106" s="3768"/>
      <c r="K106" s="3768"/>
      <c r="L106" s="3768"/>
      <c r="M106" s="3768"/>
      <c r="N106" s="3768"/>
      <c r="O106" s="3768"/>
      <c r="P106" s="3768"/>
      <c r="Q106" s="3768"/>
      <c r="R106" s="3768"/>
      <c r="S106" s="3768"/>
      <c r="T106" s="3768"/>
      <c r="U106" s="3768"/>
      <c r="V106" s="3768"/>
      <c r="W106" s="3768"/>
      <c r="X106" s="3768"/>
      <c r="Y106" s="3768"/>
      <c r="Z106" s="3768"/>
      <c r="AA106" s="3768"/>
      <c r="AB106" s="3768"/>
      <c r="AC106" s="3768"/>
      <c r="AD106" s="3768"/>
      <c r="AE106" s="3768"/>
      <c r="AF106" s="3768"/>
      <c r="AG106" s="3768"/>
      <c r="AH106" s="1439"/>
      <c r="AI106" s="1439"/>
      <c r="AJ106" s="1439"/>
      <c r="AK106" s="1439"/>
      <c r="AL106" s="1439"/>
      <c r="AM106" s="1439"/>
      <c r="AN106" s="1439"/>
      <c r="AO106" s="1439"/>
      <c r="AP106" s="1439"/>
      <c r="AQ106" s="1439"/>
      <c r="AR106" s="1439"/>
      <c r="AS106" s="1439"/>
      <c r="AT106" s="1439"/>
      <c r="AU106" s="1439"/>
      <c r="AV106" s="1439"/>
      <c r="AW106" s="1439"/>
      <c r="AX106" s="1439"/>
      <c r="AY106" s="1439"/>
      <c r="AZ106" s="1439"/>
      <c r="BA106" s="1439"/>
      <c r="BB106" s="1439"/>
      <c r="BC106" s="1439"/>
      <c r="BD106" s="1439"/>
      <c r="BE106" s="1439"/>
      <c r="BF106" s="1439"/>
      <c r="BG106" s="1439"/>
      <c r="BH106" s="1439"/>
      <c r="BI106" s="1439"/>
    </row>
    <row r="107" spans="1:61" ht="11.65" customHeight="1">
      <c r="B107" s="3768"/>
      <c r="C107" s="3768"/>
      <c r="D107" s="3768"/>
      <c r="E107" s="3768"/>
      <c r="F107" s="3768"/>
      <c r="G107" s="3768"/>
      <c r="H107" s="3768"/>
      <c r="I107" s="3768"/>
      <c r="J107" s="3768"/>
      <c r="K107" s="3768"/>
      <c r="L107" s="3768"/>
      <c r="M107" s="3768"/>
      <c r="N107" s="3768"/>
      <c r="O107" s="3768"/>
      <c r="P107" s="3768"/>
      <c r="Q107" s="3768"/>
      <c r="R107" s="3768"/>
      <c r="S107" s="3768"/>
      <c r="T107" s="3768"/>
      <c r="U107" s="3768"/>
      <c r="V107" s="3768"/>
      <c r="W107" s="3768"/>
      <c r="X107" s="3768"/>
      <c r="Y107" s="3768"/>
      <c r="Z107" s="3768"/>
      <c r="AA107" s="3768"/>
      <c r="AB107" s="3768"/>
      <c r="AC107" s="3768"/>
      <c r="AD107" s="3768"/>
      <c r="AE107" s="3768"/>
      <c r="AF107" s="3768"/>
      <c r="AG107" s="3768"/>
      <c r="AH107" s="1439"/>
      <c r="AI107" s="1439"/>
      <c r="AJ107" s="1439"/>
      <c r="AK107" s="1439"/>
      <c r="AL107" s="1439"/>
      <c r="AM107" s="1439"/>
      <c r="AN107" s="1439"/>
      <c r="AO107" s="1439"/>
      <c r="AP107" s="1439"/>
      <c r="AQ107" s="1439"/>
      <c r="AR107" s="1439"/>
      <c r="AS107" s="1439"/>
      <c r="AT107" s="1439"/>
      <c r="AU107" s="1439"/>
      <c r="AV107" s="1439"/>
      <c r="AW107" s="1439"/>
      <c r="AX107" s="1439"/>
      <c r="AY107" s="1439"/>
      <c r="AZ107" s="1439"/>
      <c r="BA107" s="1439"/>
      <c r="BB107" s="1439"/>
      <c r="BC107" s="1439"/>
      <c r="BD107" s="1439"/>
      <c r="BE107" s="1439"/>
      <c r="BF107" s="1439"/>
      <c r="BG107" s="1439"/>
      <c r="BH107" s="1439"/>
      <c r="BI107" s="1439"/>
    </row>
    <row r="108" spans="1:61" ht="11.65" customHeight="1">
      <c r="B108" s="1439"/>
      <c r="C108" s="1439"/>
      <c r="D108" s="1439"/>
      <c r="E108" s="1439"/>
      <c r="F108" s="1439"/>
      <c r="G108" s="1439"/>
      <c r="H108" s="1439"/>
      <c r="I108" s="1439"/>
      <c r="J108" s="1439"/>
      <c r="K108" s="1439"/>
      <c r="L108" s="1439"/>
      <c r="M108" s="1439"/>
      <c r="N108" s="1439"/>
      <c r="O108" s="1439"/>
      <c r="P108" s="1439"/>
      <c r="Q108" s="1439"/>
      <c r="R108" s="1439"/>
      <c r="S108" s="1439"/>
      <c r="T108" s="1439"/>
      <c r="U108" s="1439"/>
      <c r="V108" s="1439"/>
      <c r="W108" s="1439"/>
      <c r="X108" s="1439"/>
      <c r="Y108" s="1439"/>
      <c r="Z108" s="1439"/>
      <c r="AA108" s="1439"/>
      <c r="AB108" s="1439"/>
      <c r="AC108" s="1439"/>
      <c r="AD108" s="1439"/>
      <c r="AE108" s="1439"/>
      <c r="AF108" s="1439"/>
      <c r="AG108" s="1439"/>
      <c r="AH108" s="1439"/>
      <c r="AI108" s="1439"/>
      <c r="AJ108" s="1439"/>
      <c r="AK108" s="1439"/>
      <c r="AL108" s="1439"/>
      <c r="AM108" s="1439"/>
      <c r="AN108" s="1439"/>
      <c r="AO108" s="1439"/>
      <c r="AP108" s="1439"/>
      <c r="AQ108" s="1439"/>
      <c r="AR108" s="1439"/>
      <c r="AS108" s="1439"/>
      <c r="AT108" s="1439"/>
      <c r="AU108" s="1439"/>
      <c r="AV108" s="1439"/>
      <c r="AW108" s="1439"/>
      <c r="AX108" s="1439"/>
      <c r="AY108" s="1439"/>
      <c r="AZ108" s="1439"/>
      <c r="BA108" s="1439"/>
      <c r="BB108" s="1439"/>
      <c r="BC108" s="1439"/>
      <c r="BD108" s="1439"/>
      <c r="BE108" s="1439"/>
      <c r="BF108" s="1439"/>
      <c r="BG108" s="1439"/>
      <c r="BH108" s="1439"/>
      <c r="BI108" s="1439"/>
    </row>
    <row r="109" spans="1:61" ht="11.65" customHeight="1">
      <c r="B109" s="1439"/>
      <c r="C109" s="1439"/>
      <c r="D109" s="1439"/>
      <c r="E109" s="1439"/>
      <c r="F109" s="1439"/>
      <c r="G109" s="1439"/>
      <c r="H109" s="1439"/>
      <c r="I109" s="1439"/>
      <c r="J109" s="1439"/>
      <c r="K109" s="1439"/>
      <c r="L109" s="1439"/>
      <c r="M109" s="1439"/>
      <c r="N109" s="1439"/>
      <c r="O109" s="1439"/>
      <c r="P109" s="1439"/>
      <c r="Q109" s="1439"/>
      <c r="R109" s="1439"/>
      <c r="S109" s="1439"/>
      <c r="T109" s="1439"/>
      <c r="U109" s="1439"/>
      <c r="V109" s="1439"/>
      <c r="W109" s="1439"/>
      <c r="X109" s="1439"/>
      <c r="Y109" s="1439"/>
      <c r="Z109" s="1439"/>
      <c r="AA109" s="1439"/>
      <c r="AB109" s="1439"/>
      <c r="AC109" s="1439"/>
      <c r="AD109" s="1439"/>
      <c r="AE109" s="1439"/>
      <c r="AF109" s="1439"/>
      <c r="AG109" s="1439"/>
      <c r="AH109" s="1439"/>
      <c r="AI109" s="1439"/>
      <c r="AJ109" s="1439"/>
      <c r="AK109" s="1439"/>
      <c r="AL109" s="1439"/>
      <c r="AM109" s="1439"/>
      <c r="AN109" s="1439"/>
      <c r="AO109" s="1439"/>
      <c r="AP109" s="1439"/>
      <c r="AQ109" s="1439"/>
      <c r="AR109" s="1439"/>
      <c r="AS109" s="1439"/>
      <c r="AT109" s="1439"/>
      <c r="AU109" s="1439"/>
      <c r="AV109" s="1439"/>
      <c r="AW109" s="1439"/>
      <c r="AX109" s="1439"/>
      <c r="AY109" s="1439"/>
      <c r="AZ109" s="1439"/>
      <c r="BA109" s="1439"/>
      <c r="BB109" s="1439"/>
      <c r="BC109" s="1439"/>
      <c r="BD109" s="1439"/>
      <c r="BE109" s="1439"/>
      <c r="BF109" s="1439"/>
      <c r="BG109" s="1439"/>
      <c r="BH109" s="1439"/>
      <c r="BI109" s="1439"/>
    </row>
    <row r="110" spans="1:61" ht="11.65" customHeight="1">
      <c r="B110" s="1439"/>
      <c r="C110" s="1439"/>
      <c r="D110" s="1439"/>
      <c r="E110" s="1439"/>
      <c r="F110" s="1439"/>
      <c r="G110" s="1439"/>
      <c r="H110" s="1439"/>
      <c r="I110" s="1439"/>
      <c r="J110" s="1439"/>
      <c r="K110" s="1439"/>
      <c r="L110" s="1439"/>
      <c r="M110" s="1439"/>
      <c r="N110" s="1439"/>
      <c r="O110" s="1439"/>
      <c r="P110" s="1439"/>
      <c r="Q110" s="1439"/>
      <c r="R110" s="1439"/>
      <c r="S110" s="1439"/>
      <c r="T110" s="1439"/>
      <c r="U110" s="1439"/>
      <c r="V110" s="1439"/>
      <c r="W110" s="1439"/>
      <c r="X110" s="1439"/>
      <c r="Y110" s="1439"/>
      <c r="Z110" s="1439"/>
      <c r="AA110" s="1439"/>
      <c r="AB110" s="1439"/>
      <c r="AC110" s="1439"/>
      <c r="AD110" s="1439"/>
      <c r="AE110" s="1439"/>
      <c r="AF110" s="1439"/>
      <c r="AG110" s="1439"/>
      <c r="AH110" s="1439"/>
      <c r="AI110" s="1439"/>
      <c r="AJ110" s="1439"/>
      <c r="AK110" s="1439"/>
      <c r="AL110" s="1439"/>
      <c r="AM110" s="1439"/>
      <c r="AN110" s="1439"/>
      <c r="AO110" s="1439"/>
      <c r="AP110" s="1439"/>
      <c r="AQ110" s="1439"/>
      <c r="AR110" s="1439"/>
      <c r="AS110" s="1439"/>
      <c r="AT110" s="1439"/>
      <c r="AU110" s="1439"/>
      <c r="AV110" s="1439"/>
      <c r="AW110" s="1439"/>
      <c r="AX110" s="1439"/>
      <c r="AY110" s="1439"/>
      <c r="AZ110" s="1439"/>
      <c r="BA110" s="1439"/>
      <c r="BB110" s="1439"/>
      <c r="BC110" s="1439"/>
      <c r="BD110" s="1439"/>
      <c r="BE110" s="1439"/>
      <c r="BF110" s="1439"/>
      <c r="BG110" s="1439"/>
      <c r="BH110" s="1439"/>
      <c r="BI110" s="1439"/>
    </row>
    <row r="111" spans="1:61" ht="11.65" customHeight="1">
      <c r="B111" s="1439"/>
      <c r="C111" s="1439"/>
      <c r="D111" s="1439"/>
      <c r="E111" s="1439"/>
      <c r="F111" s="1439"/>
      <c r="G111" s="1439"/>
      <c r="H111" s="1439"/>
      <c r="I111" s="1439"/>
      <c r="J111" s="1439"/>
      <c r="K111" s="1439"/>
      <c r="L111" s="1439"/>
      <c r="M111" s="1439"/>
      <c r="N111" s="1439"/>
      <c r="O111" s="1439"/>
      <c r="P111" s="1439"/>
      <c r="Q111" s="1439"/>
      <c r="R111" s="1439"/>
      <c r="S111" s="1439"/>
      <c r="T111" s="1439"/>
      <c r="U111" s="1439"/>
      <c r="V111" s="1439"/>
      <c r="W111" s="1439"/>
      <c r="X111" s="1439"/>
      <c r="Y111" s="1439"/>
      <c r="Z111" s="1439"/>
      <c r="AA111" s="1439"/>
      <c r="AB111" s="1439"/>
      <c r="AC111" s="1439"/>
      <c r="AD111" s="1439"/>
      <c r="AE111" s="1439"/>
      <c r="AF111" s="1439"/>
      <c r="AG111" s="1439"/>
      <c r="AH111" s="1439"/>
      <c r="AI111" s="1439"/>
      <c r="AJ111" s="1439"/>
      <c r="AK111" s="1439"/>
      <c r="AL111" s="1439"/>
      <c r="AM111" s="1439"/>
      <c r="AN111" s="1439"/>
      <c r="AO111" s="1439"/>
      <c r="AP111" s="1439"/>
      <c r="AQ111" s="1439"/>
      <c r="AR111" s="1439"/>
      <c r="AS111" s="1439"/>
      <c r="AT111" s="1439"/>
      <c r="AU111" s="1439"/>
      <c r="AV111" s="1439"/>
      <c r="AW111" s="1439"/>
      <c r="AX111" s="1439"/>
      <c r="AY111" s="1439"/>
      <c r="AZ111" s="1439"/>
      <c r="BA111" s="1439"/>
      <c r="BB111" s="1439"/>
      <c r="BC111" s="1439"/>
      <c r="BD111" s="1439"/>
      <c r="BE111" s="1439"/>
      <c r="BF111" s="1439"/>
      <c r="BG111" s="1439"/>
      <c r="BH111" s="1439"/>
      <c r="BI111" s="1439"/>
    </row>
    <row r="112" spans="1:61" ht="11.65" customHeight="1">
      <c r="B112" s="1439"/>
      <c r="C112" s="1439"/>
      <c r="D112" s="1439"/>
      <c r="E112" s="1439"/>
      <c r="F112" s="1439"/>
      <c r="G112" s="1439"/>
      <c r="H112" s="1439"/>
      <c r="I112" s="1439"/>
      <c r="J112" s="1439"/>
      <c r="K112" s="1439"/>
      <c r="L112" s="1439"/>
      <c r="M112" s="1439"/>
      <c r="N112" s="1439"/>
      <c r="O112" s="1439"/>
      <c r="P112" s="1439"/>
      <c r="Q112" s="1439"/>
      <c r="R112" s="1439"/>
      <c r="S112" s="1439"/>
      <c r="T112" s="1439"/>
      <c r="U112" s="1439"/>
      <c r="V112" s="1439"/>
      <c r="W112" s="1439"/>
      <c r="X112" s="1439"/>
      <c r="Y112" s="1439"/>
      <c r="Z112" s="1439"/>
      <c r="AA112" s="1439"/>
      <c r="AB112" s="1439"/>
      <c r="AC112" s="1439"/>
      <c r="AD112" s="1439"/>
      <c r="AE112" s="1439"/>
      <c r="AF112" s="1439"/>
      <c r="AG112" s="1439"/>
      <c r="AH112" s="1439"/>
      <c r="AI112" s="1439"/>
      <c r="AJ112" s="1439"/>
      <c r="AK112" s="1439"/>
      <c r="AL112" s="1439"/>
      <c r="AM112" s="1439"/>
      <c r="AN112" s="1439"/>
      <c r="AO112" s="1439"/>
      <c r="AP112" s="1439"/>
      <c r="AQ112" s="1439"/>
      <c r="AR112" s="1439"/>
      <c r="AS112" s="1439"/>
      <c r="AT112" s="1439"/>
      <c r="AU112" s="1439"/>
      <c r="AV112" s="1439"/>
      <c r="AW112" s="1439"/>
      <c r="AX112" s="1439"/>
      <c r="AY112" s="1439"/>
      <c r="AZ112" s="1439"/>
      <c r="BA112" s="1439"/>
      <c r="BB112" s="1439"/>
      <c r="BC112" s="1439"/>
      <c r="BD112" s="1439"/>
      <c r="BE112" s="1439"/>
      <c r="BF112" s="1439"/>
      <c r="BG112" s="1439"/>
      <c r="BH112" s="1439"/>
      <c r="BI112" s="1439"/>
    </row>
    <row r="113" spans="2:61" ht="11.65" customHeight="1">
      <c r="B113" s="1439"/>
      <c r="C113" s="1439"/>
      <c r="D113" s="1439"/>
      <c r="E113" s="1439"/>
      <c r="F113" s="1439"/>
      <c r="G113" s="1439"/>
      <c r="H113" s="1439"/>
      <c r="I113" s="1439"/>
      <c r="J113" s="1439"/>
      <c r="K113" s="1439"/>
      <c r="L113" s="1439"/>
      <c r="M113" s="1439"/>
      <c r="N113" s="1439"/>
      <c r="O113" s="1439"/>
      <c r="P113" s="1439"/>
      <c r="Q113" s="1439"/>
      <c r="R113" s="1439"/>
      <c r="S113" s="1439"/>
      <c r="T113" s="1439"/>
      <c r="U113" s="1439"/>
      <c r="V113" s="1439"/>
      <c r="W113" s="1439"/>
      <c r="X113" s="1439"/>
      <c r="Y113" s="1439"/>
      <c r="Z113" s="1439"/>
      <c r="AA113" s="1439"/>
      <c r="AB113" s="1439"/>
      <c r="AC113" s="1439"/>
      <c r="AD113" s="1439"/>
      <c r="AE113" s="1439"/>
      <c r="AF113" s="1439"/>
      <c r="AG113" s="1439"/>
      <c r="AH113" s="1439"/>
      <c r="AI113" s="1439"/>
      <c r="AJ113" s="1439"/>
      <c r="AK113" s="1439"/>
      <c r="AL113" s="1439"/>
      <c r="AM113" s="1439"/>
      <c r="AN113" s="1439"/>
      <c r="AO113" s="1439"/>
      <c r="AP113" s="1439"/>
      <c r="AQ113" s="1439"/>
      <c r="AR113" s="1439"/>
      <c r="AS113" s="1439"/>
      <c r="AT113" s="1439"/>
      <c r="AU113" s="1439"/>
      <c r="AV113" s="1439"/>
      <c r="AW113" s="1439"/>
      <c r="AX113" s="1439"/>
      <c r="AY113" s="1439"/>
      <c r="AZ113" s="1439"/>
      <c r="BA113" s="1439"/>
      <c r="BB113" s="1439"/>
      <c r="BC113" s="1439"/>
      <c r="BD113" s="1439"/>
      <c r="BE113" s="1439"/>
      <c r="BF113" s="1439"/>
      <c r="BG113" s="1439"/>
      <c r="BH113" s="1439"/>
      <c r="BI113" s="1439"/>
    </row>
  </sheetData>
  <mergeCells count="114">
    <mergeCell ref="BH98:BI98"/>
    <mergeCell ref="BH99:BI99"/>
    <mergeCell ref="BH79:BI79"/>
    <mergeCell ref="BH93:BI93"/>
    <mergeCell ref="BH94:BI94"/>
    <mergeCell ref="BH95:BI95"/>
    <mergeCell ref="BH96:BI96"/>
    <mergeCell ref="BH97:BI97"/>
    <mergeCell ref="BH86:BI86"/>
    <mergeCell ref="BH88:BI88"/>
    <mergeCell ref="BH89:BI89"/>
    <mergeCell ref="BH90:BI90"/>
    <mergeCell ref="BH91:BI91"/>
    <mergeCell ref="BH80:BI80"/>
    <mergeCell ref="BH81:BI81"/>
    <mergeCell ref="BH83:BI83"/>
    <mergeCell ref="BH85:BI85"/>
    <mergeCell ref="BH84:BI84"/>
    <mergeCell ref="BH87:BI87"/>
    <mergeCell ref="AV4:BI4"/>
    <mergeCell ref="AV29:BI29"/>
    <mergeCell ref="AV54:BI54"/>
    <mergeCell ref="AV78:BI78"/>
    <mergeCell ref="B103:AG107"/>
    <mergeCell ref="A1:C1"/>
    <mergeCell ref="A2:C2"/>
    <mergeCell ref="R99:S99"/>
    <mergeCell ref="P79:Q79"/>
    <mergeCell ref="P80:Q80"/>
    <mergeCell ref="P81:Q81"/>
    <mergeCell ref="P83:Q83"/>
    <mergeCell ref="P84:Q84"/>
    <mergeCell ref="P85:Q85"/>
    <mergeCell ref="P86:Q86"/>
    <mergeCell ref="P88:Q88"/>
    <mergeCell ref="P89:Q89"/>
    <mergeCell ref="P90:Q90"/>
    <mergeCell ref="P91:Q91"/>
    <mergeCell ref="P93:Q93"/>
    <mergeCell ref="R98:S98"/>
    <mergeCell ref="R93:S93"/>
    <mergeCell ref="R78:S78"/>
    <mergeCell ref="T78:AG78"/>
    <mergeCell ref="R84:S84"/>
    <mergeCell ref="R85:S85"/>
    <mergeCell ref="AF83:AG83"/>
    <mergeCell ref="AF84:AG84"/>
    <mergeCell ref="AF85:AG85"/>
    <mergeCell ref="AF95:AG95"/>
    <mergeCell ref="AF96:AG96"/>
    <mergeCell ref="AF97:AG97"/>
    <mergeCell ref="R94:S94"/>
    <mergeCell ref="R95:S95"/>
    <mergeCell ref="R96:S96"/>
    <mergeCell ref="R86:S86"/>
    <mergeCell ref="R88:S88"/>
    <mergeCell ref="R89:S89"/>
    <mergeCell ref="R90:S90"/>
    <mergeCell ref="R91:S91"/>
    <mergeCell ref="AF86:AG86"/>
    <mergeCell ref="AF88:AG88"/>
    <mergeCell ref="AF89:AG89"/>
    <mergeCell ref="AF90:AG90"/>
    <mergeCell ref="AF91:AG91"/>
    <mergeCell ref="R80:S80"/>
    <mergeCell ref="R81:S81"/>
    <mergeCell ref="AT79:AU79"/>
    <mergeCell ref="AT80:AU80"/>
    <mergeCell ref="AT81:AU81"/>
    <mergeCell ref="R79:S79"/>
    <mergeCell ref="AT99:AU99"/>
    <mergeCell ref="AH4:AU4"/>
    <mergeCell ref="AH29:AU29"/>
    <mergeCell ref="AH54:AU54"/>
    <mergeCell ref="AF79:AG79"/>
    <mergeCell ref="AF80:AG80"/>
    <mergeCell ref="AH78:AU78"/>
    <mergeCell ref="AT83:AU83"/>
    <mergeCell ref="AT84:AU84"/>
    <mergeCell ref="AT85:AU85"/>
    <mergeCell ref="T4:AG4"/>
    <mergeCell ref="T29:AG29"/>
    <mergeCell ref="T54:AG54"/>
    <mergeCell ref="R4:S4"/>
    <mergeCell ref="R29:S29"/>
    <mergeCell ref="R54:S54"/>
    <mergeCell ref="AF81:AG81"/>
    <mergeCell ref="R83:S83"/>
    <mergeCell ref="D4:Q4"/>
    <mergeCell ref="D29:Q29"/>
    <mergeCell ref="D54:Q54"/>
    <mergeCell ref="D78:Q78"/>
    <mergeCell ref="P97:Q97"/>
    <mergeCell ref="P94:Q94"/>
    <mergeCell ref="P95:Q95"/>
    <mergeCell ref="P96:Q96"/>
    <mergeCell ref="P98:Q98"/>
    <mergeCell ref="P99:Q99"/>
    <mergeCell ref="AT86:AU86"/>
    <mergeCell ref="AT88:AU88"/>
    <mergeCell ref="AT89:AU89"/>
    <mergeCell ref="AT90:AU90"/>
    <mergeCell ref="AT91:AU91"/>
    <mergeCell ref="AT93:AU93"/>
    <mergeCell ref="AT94:AU94"/>
    <mergeCell ref="AT95:AU95"/>
    <mergeCell ref="AT96:AU96"/>
    <mergeCell ref="AT97:AU97"/>
    <mergeCell ref="AF99:AG99"/>
    <mergeCell ref="AF93:AG93"/>
    <mergeCell ref="AF94:AG94"/>
    <mergeCell ref="AT98:AU98"/>
    <mergeCell ref="R97:S97"/>
    <mergeCell ref="AF98:AG98"/>
  </mergeCells>
  <pageMargins left="0.7" right="0.7" top="0.75" bottom="0.75" header="0.3" footer="0.3"/>
  <pageSetup paperSize="9" orientation="portrait" r:id="rId1"/>
  <headerFooter>
    <oddFooter>&amp;C_x000D_&amp;1#&amp;"Calibri"&amp;10&amp;K000000 C2 -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779DC-BCBB-4124-BCFF-A192E16461C7}">
  <sheetPr codeName="Sheet3">
    <tabColor rgb="FFFFFF00"/>
    <pageSetUpPr fitToPage="1"/>
  </sheetPr>
  <dimension ref="A1:R111"/>
  <sheetViews>
    <sheetView topLeftCell="A38" zoomScale="60" zoomScaleNormal="60" workbookViewId="0">
      <selection activeCell="N46" sqref="N46:O50"/>
    </sheetView>
  </sheetViews>
  <sheetFormatPr defaultColWidth="8.5703125" defaultRowHeight="23.45"/>
  <cols>
    <col min="1" max="1" width="42.42578125" style="230" customWidth="1"/>
    <col min="2" max="2" width="18.42578125" style="437" customWidth="1"/>
    <col min="3" max="3" width="79.42578125" style="440" customWidth="1"/>
    <col min="4" max="4" width="10.42578125" style="224" customWidth="1"/>
    <col min="5" max="5" width="74.5703125" style="438" customWidth="1"/>
    <col min="6" max="7" width="23" style="439" hidden="1" customWidth="1"/>
    <col min="8" max="8" width="19.140625" style="439" hidden="1" customWidth="1"/>
    <col min="9" max="9" width="18.140625" style="439" hidden="1" customWidth="1"/>
    <col min="10" max="10" width="19.5703125" style="439" hidden="1" customWidth="1"/>
    <col min="11" max="11" width="30" style="439" customWidth="1"/>
    <col min="12" max="15" width="30" style="230" customWidth="1"/>
    <col min="16" max="16" width="24" style="454" customWidth="1"/>
    <col min="17" max="17" width="33.42578125" style="230" customWidth="1"/>
    <col min="18" max="18" width="37.5703125" style="230" customWidth="1"/>
    <col min="19" max="19" width="38.5703125" style="230" customWidth="1"/>
    <col min="20" max="16384" width="8.5703125" style="230"/>
  </cols>
  <sheetData>
    <row r="1" spans="1:18" ht="39" customHeight="1">
      <c r="A1" s="221" t="s">
        <v>2</v>
      </c>
      <c r="B1" s="222"/>
      <c r="C1" s="223"/>
      <c r="E1" s="225"/>
      <c r="F1" s="226"/>
      <c r="G1" s="226"/>
      <c r="H1" s="227"/>
      <c r="I1" s="226"/>
      <c r="J1" s="226"/>
      <c r="K1" s="226"/>
      <c r="L1" s="228"/>
      <c r="M1" s="228"/>
      <c r="N1" s="228"/>
      <c r="O1" s="228"/>
      <c r="P1" s="229"/>
    </row>
    <row r="2" spans="1:18" ht="69.75" customHeight="1" thickBot="1">
      <c r="A2" s="231" t="s">
        <v>3</v>
      </c>
      <c r="B2" s="232"/>
      <c r="C2" s="231" t="s">
        <v>4</v>
      </c>
      <c r="D2" s="233" t="s">
        <v>5</v>
      </c>
      <c r="E2" s="231" t="s">
        <v>6</v>
      </c>
      <c r="F2" s="234" t="s">
        <v>7</v>
      </c>
      <c r="G2" s="234" t="s">
        <v>8</v>
      </c>
      <c r="H2" s="234" t="s">
        <v>9</v>
      </c>
      <c r="I2" s="234" t="s">
        <v>10</v>
      </c>
      <c r="J2" s="234" t="s">
        <v>11</v>
      </c>
      <c r="K2" s="234" t="s">
        <v>12</v>
      </c>
      <c r="L2" s="234" t="s">
        <v>13</v>
      </c>
      <c r="M2" s="234" t="s">
        <v>14</v>
      </c>
      <c r="N2" s="234" t="s">
        <v>15</v>
      </c>
      <c r="O2" s="486" t="s">
        <v>16</v>
      </c>
      <c r="P2" s="235" t="s">
        <v>17</v>
      </c>
      <c r="Q2" s="234" t="s">
        <v>18</v>
      </c>
    </row>
    <row r="3" spans="1:18" s="244" customFormat="1" ht="39.6">
      <c r="A3" s="3435" t="s">
        <v>19</v>
      </c>
      <c r="B3" s="3438" t="s">
        <v>20</v>
      </c>
      <c r="C3" s="236" t="s">
        <v>21</v>
      </c>
      <c r="D3" s="237">
        <v>2020</v>
      </c>
      <c r="E3" s="238" t="s">
        <v>22</v>
      </c>
      <c r="F3" s="239" t="s">
        <v>23</v>
      </c>
      <c r="G3" s="239" t="s">
        <v>23</v>
      </c>
      <c r="H3" s="237" t="s">
        <v>24</v>
      </c>
      <c r="I3" s="237" t="s">
        <v>24</v>
      </c>
      <c r="J3" s="237" t="s">
        <v>24</v>
      </c>
      <c r="K3" s="237" t="s">
        <v>24</v>
      </c>
      <c r="L3" s="237" t="s">
        <v>24</v>
      </c>
      <c r="M3" s="240" t="s">
        <v>25</v>
      </c>
      <c r="N3" s="240" t="s">
        <v>25</v>
      </c>
      <c r="O3" s="240" t="s">
        <v>25</v>
      </c>
      <c r="P3" s="241"/>
      <c r="Q3" s="249"/>
      <c r="R3" s="243"/>
    </row>
    <row r="4" spans="1:18" s="244" customFormat="1" ht="29.45">
      <c r="A4" s="3436"/>
      <c r="B4" s="3439"/>
      <c r="C4" s="3441" t="s">
        <v>26</v>
      </c>
      <c r="D4" s="245">
        <v>2038</v>
      </c>
      <c r="E4" s="246" t="s">
        <v>22</v>
      </c>
      <c r="F4" s="247" t="s">
        <v>23</v>
      </c>
      <c r="G4" s="247" t="s">
        <v>23</v>
      </c>
      <c r="H4" s="245" t="s">
        <v>24</v>
      </c>
      <c r="I4" s="245" t="s">
        <v>24</v>
      </c>
      <c r="J4" s="245" t="s">
        <v>24</v>
      </c>
      <c r="K4" s="245" t="s">
        <v>24</v>
      </c>
      <c r="L4" s="245" t="s">
        <v>24</v>
      </c>
      <c r="M4" s="248" t="s">
        <v>27</v>
      </c>
      <c r="N4" s="248" t="s">
        <v>27</v>
      </c>
      <c r="O4" s="248" t="s">
        <v>27</v>
      </c>
      <c r="P4" s="248"/>
      <c r="Q4" s="249"/>
      <c r="R4" s="243"/>
    </row>
    <row r="5" spans="1:18" s="244" customFormat="1" ht="29.45">
      <c r="A5" s="3436"/>
      <c r="B5" s="3439"/>
      <c r="C5" s="3442"/>
      <c r="D5" s="250" t="s">
        <v>24</v>
      </c>
      <c r="E5" s="251" t="s">
        <v>28</v>
      </c>
      <c r="F5" s="247" t="s">
        <v>29</v>
      </c>
      <c r="G5" s="247" t="s">
        <v>29</v>
      </c>
      <c r="H5" s="252" t="s">
        <v>30</v>
      </c>
      <c r="I5" s="252" t="s">
        <v>30</v>
      </c>
      <c r="J5" s="252" t="s">
        <v>30</v>
      </c>
      <c r="K5" s="252">
        <f>[1]Emissions!G8</f>
        <v>208525599.78270805</v>
      </c>
      <c r="L5" s="252">
        <f>[1]Emissions!F8</f>
        <v>210406900</v>
      </c>
      <c r="M5" s="252">
        <v>181314564</v>
      </c>
      <c r="N5" s="252">
        <v>182337077</v>
      </c>
      <c r="O5" s="252">
        <v>194775860</v>
      </c>
      <c r="P5" s="254">
        <f t="shared" ref="P5:P15" si="0">(O5-N5)/N5</f>
        <v>6.8218615789261555E-2</v>
      </c>
      <c r="Q5" s="262"/>
      <c r="R5" s="243"/>
    </row>
    <row r="6" spans="1:18" s="244" customFormat="1" ht="29.45">
      <c r="A6" s="3436"/>
      <c r="B6" s="3439"/>
      <c r="C6" s="3442"/>
      <c r="D6" s="250"/>
      <c r="E6" s="256" t="s">
        <v>31</v>
      </c>
      <c r="F6" s="247" t="s">
        <v>23</v>
      </c>
      <c r="G6" s="247" t="s">
        <v>29</v>
      </c>
      <c r="H6" s="252" t="s">
        <v>30</v>
      </c>
      <c r="I6" s="252" t="s">
        <v>30</v>
      </c>
      <c r="J6" s="252" t="s">
        <v>30</v>
      </c>
      <c r="K6" s="258">
        <f>SUM(1/[1]Energy!I31)*[1]Energy!I30</f>
        <v>0.65235116666382076</v>
      </c>
      <c r="L6" s="258">
        <f>SUM(1/[1]Energy!H31)*[1]Energy!H30</f>
        <v>0.6358488885056881</v>
      </c>
      <c r="M6" s="721">
        <v>0.58499999999999996</v>
      </c>
      <c r="N6" s="721">
        <v>0.59399999999999997</v>
      </c>
      <c r="O6" s="721">
        <v>0.62</v>
      </c>
      <c r="P6" s="254">
        <f t="shared" si="0"/>
        <v>4.3771043771043815E-2</v>
      </c>
      <c r="Q6" s="255"/>
      <c r="R6" s="243"/>
    </row>
    <row r="7" spans="1:18" s="244" customFormat="1" ht="39.6">
      <c r="A7" s="3436"/>
      <c r="B7" s="3439"/>
      <c r="C7" s="3442"/>
      <c r="D7" s="250"/>
      <c r="E7" s="256" t="s">
        <v>32</v>
      </c>
      <c r="F7" s="247" t="s">
        <v>23</v>
      </c>
      <c r="G7" s="247" t="s">
        <v>29</v>
      </c>
      <c r="H7" s="252" t="s">
        <v>30</v>
      </c>
      <c r="I7" s="252" t="s">
        <v>30</v>
      </c>
      <c r="J7" s="252" t="s">
        <v>30</v>
      </c>
      <c r="K7" s="252">
        <f>[1]Emissions!$G$14</f>
        <v>47739.090915080516</v>
      </c>
      <c r="L7" s="252">
        <f>[1]Emissions!$F$14</f>
        <v>50043</v>
      </c>
      <c r="M7" s="252">
        <f>[1]Emissions!$E$14</f>
        <v>39308</v>
      </c>
      <c r="N7" s="252">
        <v>37380</v>
      </c>
      <c r="O7" s="252">
        <v>37636</v>
      </c>
      <c r="P7" s="254">
        <f t="shared" si="0"/>
        <v>6.8485821294810055E-3</v>
      </c>
      <c r="Q7" s="255"/>
      <c r="R7" s="259">
        <f>SUM(L7-M7)</f>
        <v>10735</v>
      </c>
    </row>
    <row r="8" spans="1:18" s="244" customFormat="1" ht="39.6">
      <c r="A8" s="3436"/>
      <c r="B8" s="3439"/>
      <c r="C8" s="3442"/>
      <c r="D8" s="250"/>
      <c r="E8" s="256" t="s">
        <v>33</v>
      </c>
      <c r="F8" s="247" t="s">
        <v>29</v>
      </c>
      <c r="G8" s="247" t="s">
        <v>29</v>
      </c>
      <c r="H8" s="252" t="s">
        <v>30</v>
      </c>
      <c r="I8" s="252" t="s">
        <v>30</v>
      </c>
      <c r="J8" s="252" t="s">
        <v>30</v>
      </c>
      <c r="K8" s="252">
        <f>[1]Emissions!$G$15</f>
        <v>14520</v>
      </c>
      <c r="L8" s="252">
        <f>[1]Emissions!$F$15</f>
        <v>15492</v>
      </c>
      <c r="M8" s="252">
        <v>14293</v>
      </c>
      <c r="N8" s="252">
        <v>14692</v>
      </c>
      <c r="O8" s="252">
        <v>14124</v>
      </c>
      <c r="P8" s="254">
        <f t="shared" si="0"/>
        <v>-3.8660495507759324E-2</v>
      </c>
      <c r="Q8" s="255"/>
      <c r="R8" s="243"/>
    </row>
    <row r="9" spans="1:18" s="244" customFormat="1" ht="39.6">
      <c r="A9" s="3436"/>
      <c r="B9" s="3439"/>
      <c r="C9" s="3442"/>
      <c r="D9" s="250" t="s">
        <v>24</v>
      </c>
      <c r="E9" s="260" t="s">
        <v>34</v>
      </c>
      <c r="F9" s="247" t="s">
        <v>29</v>
      </c>
      <c r="G9" s="247" t="s">
        <v>29</v>
      </c>
      <c r="H9" s="252" t="s">
        <v>30</v>
      </c>
      <c r="I9" s="252" t="s">
        <v>30</v>
      </c>
      <c r="J9" s="252" t="s">
        <v>30</v>
      </c>
      <c r="K9" s="261">
        <f>[1]Emissions!G18</f>
        <v>0.21</v>
      </c>
      <c r="L9" s="261">
        <f>[1]Emissions!F18</f>
        <v>0.23200000000000001</v>
      </c>
      <c r="M9" s="264">
        <v>1.2</v>
      </c>
      <c r="N9" s="264">
        <v>0.5</v>
      </c>
      <c r="O9" s="655">
        <v>0.2</v>
      </c>
      <c r="P9" s="254">
        <f t="shared" si="0"/>
        <v>-0.6</v>
      </c>
      <c r="Q9" s="262"/>
      <c r="R9" s="243"/>
    </row>
    <row r="10" spans="1:18" s="244" customFormat="1" ht="39.6">
      <c r="A10" s="3436"/>
      <c r="B10" s="3439"/>
      <c r="C10" s="3442"/>
      <c r="D10" s="250"/>
      <c r="E10" s="263" t="s">
        <v>35</v>
      </c>
      <c r="F10" s="247" t="s">
        <v>29</v>
      </c>
      <c r="G10" s="247" t="s">
        <v>29</v>
      </c>
      <c r="H10" s="252" t="s">
        <v>30</v>
      </c>
      <c r="I10" s="252" t="s">
        <v>30</v>
      </c>
      <c r="J10" s="252" t="s">
        <v>30</v>
      </c>
      <c r="K10" s="264">
        <f>[1]Emissions!$G$19</f>
        <v>14520</v>
      </c>
      <c r="L10" s="264">
        <f>[1]Emissions!$F$19</f>
        <v>15439</v>
      </c>
      <c r="M10" s="264">
        <v>14228</v>
      </c>
      <c r="N10" s="264">
        <v>14634</v>
      </c>
      <c r="O10" s="252">
        <v>13995</v>
      </c>
      <c r="P10" s="254">
        <f t="shared" si="0"/>
        <v>-4.3665436654366542E-2</v>
      </c>
      <c r="Q10" s="255"/>
      <c r="R10" s="243"/>
    </row>
    <row r="11" spans="1:18" s="244" customFormat="1" ht="30" thickBot="1">
      <c r="A11" s="3436"/>
      <c r="B11" s="3439"/>
      <c r="C11" s="3442"/>
      <c r="D11" s="250" t="s">
        <v>24</v>
      </c>
      <c r="E11" s="265" t="s">
        <v>36</v>
      </c>
      <c r="F11" s="247" t="s">
        <v>29</v>
      </c>
      <c r="G11" s="247" t="s">
        <v>29</v>
      </c>
      <c r="H11" s="252" t="s">
        <v>30</v>
      </c>
      <c r="I11" s="252" t="s">
        <v>30</v>
      </c>
      <c r="J11" s="252" t="s">
        <v>30</v>
      </c>
      <c r="K11" s="252">
        <f>[1]Emissions!G21</f>
        <v>0</v>
      </c>
      <c r="L11" s="252">
        <f>[1]Emissions!F21</f>
        <v>0</v>
      </c>
      <c r="M11" s="252">
        <f>[1]Emissions!E21</f>
        <v>0</v>
      </c>
      <c r="N11" s="264">
        <v>0</v>
      </c>
      <c r="O11" s="264">
        <v>0</v>
      </c>
      <c r="P11" s="254" t="e">
        <f t="shared" si="0"/>
        <v>#DIV/0!</v>
      </c>
      <c r="Q11" s="249"/>
      <c r="R11" s="243"/>
    </row>
    <row r="12" spans="1:18" s="244" customFormat="1" ht="39.6">
      <c r="A12" s="3436"/>
      <c r="B12" s="3439"/>
      <c r="C12" s="3441" t="s">
        <v>37</v>
      </c>
      <c r="D12" s="3443">
        <v>2022</v>
      </c>
      <c r="E12" s="266" t="s">
        <v>38</v>
      </c>
      <c r="F12" s="247" t="s">
        <v>23</v>
      </c>
      <c r="G12" s="247" t="s">
        <v>29</v>
      </c>
      <c r="H12" s="267">
        <v>1</v>
      </c>
      <c r="I12" s="267">
        <v>1</v>
      </c>
      <c r="J12" s="267">
        <v>1</v>
      </c>
      <c r="K12" s="267">
        <v>1</v>
      </c>
      <c r="L12" s="267">
        <v>1</v>
      </c>
      <c r="M12" s="267">
        <v>1</v>
      </c>
      <c r="N12" s="267">
        <v>1</v>
      </c>
      <c r="O12" s="267">
        <v>1</v>
      </c>
      <c r="P12" s="254">
        <f t="shared" si="0"/>
        <v>0</v>
      </c>
      <c r="Q12" s="249"/>
      <c r="R12" s="243"/>
    </row>
    <row r="13" spans="1:18" s="244" customFormat="1" ht="39.6">
      <c r="A13" s="3436"/>
      <c r="B13" s="3439"/>
      <c r="C13" s="3441"/>
      <c r="D13" s="3443"/>
      <c r="E13" s="266" t="s">
        <v>39</v>
      </c>
      <c r="F13" s="247" t="s">
        <v>23</v>
      </c>
      <c r="G13" s="247" t="s">
        <v>29</v>
      </c>
      <c r="H13" s="267">
        <v>0.33333333332999998</v>
      </c>
      <c r="I13" s="267">
        <v>0.33333333332999998</v>
      </c>
      <c r="J13" s="267">
        <v>0.33333333332999998</v>
      </c>
      <c r="K13" s="267">
        <v>0.33333333332999998</v>
      </c>
      <c r="L13" s="267">
        <v>0.33333333332999998</v>
      </c>
      <c r="M13" s="267">
        <v>0.33333333332999998</v>
      </c>
      <c r="N13" s="267">
        <v>0.33300000000000002</v>
      </c>
      <c r="O13" s="267" t="s">
        <v>40</v>
      </c>
      <c r="P13" s="254" t="e">
        <f t="shared" si="0"/>
        <v>#VALUE!</v>
      </c>
      <c r="Q13" s="268"/>
      <c r="R13" s="243"/>
    </row>
    <row r="14" spans="1:18" s="244" customFormat="1" ht="29.45">
      <c r="A14" s="3436"/>
      <c r="B14" s="3439"/>
      <c r="C14" s="3441"/>
      <c r="D14" s="3443"/>
      <c r="E14" s="251" t="s">
        <v>41</v>
      </c>
      <c r="F14" s="247" t="s">
        <v>23</v>
      </c>
      <c r="G14" s="247" t="s">
        <v>29</v>
      </c>
      <c r="H14" s="269">
        <f>'[1]Water&amp;effluents'!F28</f>
        <v>0.98</v>
      </c>
      <c r="I14" s="269">
        <f>'[1]Water&amp;effluents'!G28</f>
        <v>0.95199999999999996</v>
      </c>
      <c r="J14" s="269" t="e">
        <f>'[1]Water&amp;effluents'!H28</f>
        <v>#VALUE!</v>
      </c>
      <c r="K14" s="269">
        <f>'[1]Water&amp;effluents'!I28</f>
        <v>0.94042553191489364</v>
      </c>
      <c r="L14" s="269">
        <f>'[1]Water&amp;effluents'!L28</f>
        <v>0.94312796208530802</v>
      </c>
      <c r="M14" s="254">
        <f>'[1]Water&amp;effluents'!O28</f>
        <v>0.90721649484536082</v>
      </c>
      <c r="N14" s="254">
        <v>0.92600000000000005</v>
      </c>
      <c r="O14" s="254">
        <v>0.95899999999999996</v>
      </c>
      <c r="P14" s="254">
        <f t="shared" si="0"/>
        <v>3.5637149028077665E-2</v>
      </c>
      <c r="Q14" s="268"/>
      <c r="R14" s="243"/>
    </row>
    <row r="15" spans="1:18" s="244" customFormat="1" ht="29.45">
      <c r="A15" s="3436"/>
      <c r="B15" s="3439"/>
      <c r="C15" s="3442"/>
      <c r="D15" s="3444"/>
      <c r="E15" s="266" t="s">
        <v>42</v>
      </c>
      <c r="F15" s="247" t="s">
        <v>23</v>
      </c>
      <c r="G15" s="247" t="s">
        <v>29</v>
      </c>
      <c r="H15" s="269">
        <f>'[1]Water&amp;effluents'!F32</f>
        <v>0.91</v>
      </c>
      <c r="I15" s="269">
        <f>'[1]Water&amp;effluents'!G32</f>
        <v>0.9363636363636364</v>
      </c>
      <c r="J15" s="269">
        <f>'[1]Water&amp;effluents'!H32</f>
        <v>0.96078431372549022</v>
      </c>
      <c r="K15" s="269">
        <f>'[1]Water&amp;effluents'!I32</f>
        <v>0.88073394495412849</v>
      </c>
      <c r="L15" s="269">
        <f>'[1]Water&amp;effluents'!L32</f>
        <v>0.83435582822085885</v>
      </c>
      <c r="M15" s="254">
        <f>'[1]Water&amp;effluents'!O32</f>
        <v>0.87985865724381629</v>
      </c>
      <c r="N15" s="254">
        <v>0.85599999999999998</v>
      </c>
      <c r="O15" s="254">
        <v>0.95599999999999996</v>
      </c>
      <c r="P15" s="254">
        <f t="shared" si="0"/>
        <v>0.11682242990654203</v>
      </c>
      <c r="Q15" s="268"/>
      <c r="R15" s="243"/>
    </row>
    <row r="16" spans="1:18" s="244" customFormat="1" ht="29.45">
      <c r="A16" s="3436"/>
      <c r="B16" s="3439"/>
      <c r="C16" s="3442"/>
      <c r="D16" s="3444"/>
      <c r="E16" s="270" t="s">
        <v>43</v>
      </c>
      <c r="F16" s="247" t="s">
        <v>23</v>
      </c>
      <c r="G16" s="247" t="s">
        <v>29</v>
      </c>
      <c r="H16" s="271">
        <f>'[1]Air Quality Monitoring'!H30</f>
        <v>0</v>
      </c>
      <c r="I16" s="271">
        <f>'[1]Air Quality Monitoring'!I30</f>
        <v>0</v>
      </c>
      <c r="J16" s="271">
        <f>'[1]Air Quality Monitoring'!J30</f>
        <v>0</v>
      </c>
      <c r="K16" s="271">
        <f>'[1]Air Quality Monitoring'!K30</f>
        <v>1</v>
      </c>
      <c r="L16" s="271">
        <f>'[1]Air Quality Monitoring'!N30</f>
        <v>1</v>
      </c>
      <c r="M16" s="272">
        <f>'[1]Air Quality Monitoring'!Q30</f>
        <v>1</v>
      </c>
      <c r="N16" s="272">
        <v>0</v>
      </c>
      <c r="O16" s="272">
        <v>0</v>
      </c>
      <c r="P16" s="254">
        <v>0</v>
      </c>
      <c r="Q16" s="262"/>
      <c r="R16" s="243"/>
    </row>
    <row r="17" spans="1:18" s="244" customFormat="1" ht="79.150000000000006">
      <c r="A17" s="3437"/>
      <c r="B17" s="3440"/>
      <c r="C17" s="273" t="s">
        <v>44</v>
      </c>
      <c r="D17" s="245">
        <v>2020</v>
      </c>
      <c r="E17" s="246" t="s">
        <v>22</v>
      </c>
      <c r="F17" s="247" t="s">
        <v>23</v>
      </c>
      <c r="G17" s="247" t="s">
        <v>23</v>
      </c>
      <c r="H17" s="245" t="s">
        <v>24</v>
      </c>
      <c r="I17" s="245" t="s">
        <v>24</v>
      </c>
      <c r="J17" s="245" t="s">
        <v>24</v>
      </c>
      <c r="K17" s="245" t="s">
        <v>24</v>
      </c>
      <c r="L17" s="245" t="s">
        <v>24</v>
      </c>
      <c r="M17" s="248" t="s">
        <v>45</v>
      </c>
      <c r="N17" s="248" t="s">
        <v>45</v>
      </c>
      <c r="O17" s="248"/>
      <c r="P17" s="254"/>
      <c r="Q17" s="249"/>
      <c r="R17" s="243"/>
    </row>
    <row r="18" spans="1:18" s="244" customFormat="1" ht="79.150000000000006">
      <c r="A18" s="3437"/>
      <c r="B18" s="3440"/>
      <c r="C18" s="273" t="s">
        <v>46</v>
      </c>
      <c r="D18" s="245">
        <v>2021</v>
      </c>
      <c r="E18" s="246" t="s">
        <v>22</v>
      </c>
      <c r="F18" s="247" t="s">
        <v>23</v>
      </c>
      <c r="G18" s="247" t="s">
        <v>23</v>
      </c>
      <c r="H18" s="245" t="s">
        <v>24</v>
      </c>
      <c r="I18" s="245" t="s">
        <v>24</v>
      </c>
      <c r="J18" s="245" t="s">
        <v>24</v>
      </c>
      <c r="K18" s="245" t="s">
        <v>24</v>
      </c>
      <c r="L18" s="245" t="s">
        <v>24</v>
      </c>
      <c r="M18" s="248" t="s">
        <v>45</v>
      </c>
      <c r="N18" s="248" t="s">
        <v>45</v>
      </c>
      <c r="O18" s="248"/>
      <c r="P18" s="254"/>
      <c r="Q18" s="249"/>
      <c r="R18" s="243"/>
    </row>
    <row r="19" spans="1:18" s="244" customFormat="1" ht="29.45">
      <c r="A19" s="3437"/>
      <c r="B19" s="3440"/>
      <c r="C19" s="3441" t="s">
        <v>47</v>
      </c>
      <c r="D19" s="3443">
        <v>2021</v>
      </c>
      <c r="E19" s="251" t="s">
        <v>48</v>
      </c>
      <c r="F19" s="247" t="s">
        <v>23</v>
      </c>
      <c r="G19" s="247" t="s">
        <v>29</v>
      </c>
      <c r="H19" s="275">
        <f>'[1]Waste Performance'!AL12</f>
        <v>15569.18</v>
      </c>
      <c r="I19" s="275">
        <f>'[1]Waste Performance'!AM12</f>
        <v>17496.403999999999</v>
      </c>
      <c r="J19" s="275">
        <f>'[1]Waste Performance'!AN12</f>
        <v>16347.58</v>
      </c>
      <c r="K19" s="275">
        <f>'[1]Waste Performance'!AO12</f>
        <v>17938.141499999994</v>
      </c>
      <c r="L19" s="275">
        <f>'[1]Waste Performance'!AR12</f>
        <v>16266.368899999994</v>
      </c>
      <c r="M19" s="276">
        <v>3708</v>
      </c>
      <c r="N19" s="276">
        <v>5770</v>
      </c>
      <c r="O19" s="276">
        <v>12180</v>
      </c>
      <c r="P19" s="254">
        <f>(O19-N19)/N19</f>
        <v>1.1109185441941074</v>
      </c>
      <c r="Q19" s="278"/>
      <c r="R19" s="243"/>
    </row>
    <row r="20" spans="1:18" s="244" customFormat="1" ht="29.45">
      <c r="A20" s="3437"/>
      <c r="B20" s="3440"/>
      <c r="C20" s="3441"/>
      <c r="D20" s="3443"/>
      <c r="E20" s="251" t="s">
        <v>49</v>
      </c>
      <c r="F20" s="247" t="s">
        <v>23</v>
      </c>
      <c r="G20" s="247" t="s">
        <v>29</v>
      </c>
      <c r="H20" s="275" t="s">
        <v>50</v>
      </c>
      <c r="I20" s="275" t="s">
        <v>50</v>
      </c>
      <c r="J20" s="275" t="s">
        <v>50</v>
      </c>
      <c r="K20" s="279">
        <f>SUM(K19/([1]Emissions!G16))</f>
        <v>0.25934654410516222</v>
      </c>
      <c r="L20" s="279">
        <f>SUM(L19/([1]Emissions!F16))</f>
        <v>0.24314816215489013</v>
      </c>
      <c r="M20" s="279">
        <f>SUM(M19/([1]Emissions!E16))</f>
        <v>0.30866561225339217</v>
      </c>
      <c r="N20" s="279">
        <v>0.2</v>
      </c>
      <c r="O20" s="656">
        <f>O19/'302-4, 5 &amp; 305-4 - GHG'!G14</f>
        <v>0.19925402434236356</v>
      </c>
      <c r="P20" s="254">
        <f t="shared" ref="P20:P22" si="1">(O20-N20)/N20</f>
        <v>-3.7298782881822756E-3</v>
      </c>
      <c r="Q20" s="278"/>
      <c r="R20" s="243"/>
    </row>
    <row r="21" spans="1:18" s="244" customFormat="1" ht="29.45">
      <c r="A21" s="3437"/>
      <c r="B21" s="3440"/>
      <c r="C21" s="3441"/>
      <c r="D21" s="3443"/>
      <c r="E21" s="251" t="s">
        <v>51</v>
      </c>
      <c r="F21" s="247" t="s">
        <v>23</v>
      </c>
      <c r="G21" s="247" t="s">
        <v>29</v>
      </c>
      <c r="H21" s="280" t="s">
        <v>24</v>
      </c>
      <c r="I21" s="280" t="s">
        <v>24</v>
      </c>
      <c r="J21" s="280" t="s">
        <v>24</v>
      </c>
      <c r="K21" s="280" t="s">
        <v>24</v>
      </c>
      <c r="L21" s="280" t="s">
        <v>24</v>
      </c>
      <c r="M21" s="281">
        <f>'[1]Waste Performance'!AU38</f>
        <v>0.25574752165517833</v>
      </c>
      <c r="N21" s="281">
        <v>0.29299999999999998</v>
      </c>
      <c r="O21" s="281">
        <v>0.38300000000000001</v>
      </c>
      <c r="P21" s="254">
        <f t="shared" si="1"/>
        <v>0.30716723549488067</v>
      </c>
      <c r="Q21" s="284"/>
      <c r="R21" s="243"/>
    </row>
    <row r="22" spans="1:18" s="244" customFormat="1" ht="29.45">
      <c r="A22" s="3437"/>
      <c r="B22" s="3440"/>
      <c r="C22" s="3441"/>
      <c r="D22" s="3443"/>
      <c r="E22" s="266" t="s">
        <v>52</v>
      </c>
      <c r="F22" s="247" t="s">
        <v>23</v>
      </c>
      <c r="G22" s="247" t="s">
        <v>29</v>
      </c>
      <c r="H22" s="282">
        <f>'[1]Waste Performance'!AL13</f>
        <v>0.83066545572727657</v>
      </c>
      <c r="I22" s="282">
        <f>'[1]Waste Performance'!AM13</f>
        <v>0.80500141629102762</v>
      </c>
      <c r="J22" s="282">
        <f>'[1]Waste Performance'!AN13</f>
        <v>0.86069330139384548</v>
      </c>
      <c r="K22" s="282">
        <f>'[1]Waste Performance'!AO13</f>
        <v>0.87257317598927397</v>
      </c>
      <c r="L22" s="282">
        <f>'[1]Waste Performance'!AR13</f>
        <v>0.85853065868314349</v>
      </c>
      <c r="M22" s="283">
        <f>'[1]Waste Performance'!AU13</f>
        <v>0.9256706428055187</v>
      </c>
      <c r="N22" s="283">
        <v>0.86</v>
      </c>
      <c r="O22" s="283">
        <v>0.82899999999999996</v>
      </c>
      <c r="P22" s="254">
        <f t="shared" si="1"/>
        <v>-3.6046511627907007E-2</v>
      </c>
      <c r="Q22" s="262"/>
      <c r="R22" s="243"/>
    </row>
    <row r="23" spans="1:18" s="244" customFormat="1" ht="39.6">
      <c r="A23" s="3437"/>
      <c r="B23" s="3440"/>
      <c r="C23" s="273" t="s">
        <v>53</v>
      </c>
      <c r="D23" s="245">
        <v>2021</v>
      </c>
      <c r="E23" s="246" t="s">
        <v>22</v>
      </c>
      <c r="F23" s="247" t="s">
        <v>23</v>
      </c>
      <c r="G23" s="247" t="s">
        <v>23</v>
      </c>
      <c r="H23" s="245" t="s">
        <v>24</v>
      </c>
      <c r="I23" s="245" t="s">
        <v>24</v>
      </c>
      <c r="J23" s="245" t="s">
        <v>24</v>
      </c>
      <c r="K23" s="245" t="s">
        <v>24</v>
      </c>
      <c r="L23" s="245" t="s">
        <v>24</v>
      </c>
      <c r="M23" s="248" t="s">
        <v>45</v>
      </c>
      <c r="N23" s="248" t="s">
        <v>45</v>
      </c>
      <c r="O23" s="248"/>
      <c r="P23" s="254"/>
      <c r="Q23" s="249"/>
      <c r="R23" s="243"/>
    </row>
    <row r="24" spans="1:18" s="244" customFormat="1" ht="39.6">
      <c r="A24" s="3437"/>
      <c r="B24" s="3440"/>
      <c r="C24" s="273" t="s">
        <v>54</v>
      </c>
      <c r="D24" s="245">
        <v>2021</v>
      </c>
      <c r="E24" s="246" t="s">
        <v>22</v>
      </c>
      <c r="F24" s="247" t="s">
        <v>23</v>
      </c>
      <c r="G24" s="247" t="s">
        <v>23</v>
      </c>
      <c r="H24" s="245" t="s">
        <v>24</v>
      </c>
      <c r="I24" s="245" t="s">
        <v>24</v>
      </c>
      <c r="J24" s="245" t="s">
        <v>24</v>
      </c>
      <c r="K24" s="245" t="s">
        <v>24</v>
      </c>
      <c r="L24" s="245" t="s">
        <v>24</v>
      </c>
      <c r="M24" s="248" t="s">
        <v>45</v>
      </c>
      <c r="N24" s="248" t="s">
        <v>45</v>
      </c>
      <c r="O24" s="248"/>
      <c r="P24" s="254"/>
      <c r="Q24" s="249"/>
      <c r="R24" s="243"/>
    </row>
    <row r="25" spans="1:18" s="244" customFormat="1" ht="59.45">
      <c r="A25" s="3437"/>
      <c r="B25" s="3440"/>
      <c r="C25" s="273" t="s">
        <v>55</v>
      </c>
      <c r="D25" s="245">
        <v>2021</v>
      </c>
      <c r="E25" s="246" t="s">
        <v>22</v>
      </c>
      <c r="F25" s="247" t="s">
        <v>23</v>
      </c>
      <c r="G25" s="247" t="s">
        <v>23</v>
      </c>
      <c r="H25" s="245" t="s">
        <v>24</v>
      </c>
      <c r="I25" s="245" t="s">
        <v>24</v>
      </c>
      <c r="J25" s="245" t="s">
        <v>24</v>
      </c>
      <c r="K25" s="245" t="s">
        <v>24</v>
      </c>
      <c r="L25" s="245" t="s">
        <v>24</v>
      </c>
      <c r="M25" s="248" t="s">
        <v>56</v>
      </c>
      <c r="N25" s="248" t="s">
        <v>56</v>
      </c>
      <c r="O25" s="248"/>
      <c r="P25" s="254"/>
      <c r="Q25" s="268"/>
      <c r="R25" s="243"/>
    </row>
    <row r="26" spans="1:18" s="244" customFormat="1" ht="59.45">
      <c r="A26" s="3437"/>
      <c r="B26" s="3440"/>
      <c r="C26" s="285" t="s">
        <v>57</v>
      </c>
      <c r="D26" s="245">
        <v>2021</v>
      </c>
      <c r="E26" s="246" t="s">
        <v>22</v>
      </c>
      <c r="F26" s="247" t="s">
        <v>23</v>
      </c>
      <c r="G26" s="247" t="s">
        <v>23</v>
      </c>
      <c r="H26" s="245" t="s">
        <v>24</v>
      </c>
      <c r="I26" s="245" t="s">
        <v>24</v>
      </c>
      <c r="J26" s="245" t="s">
        <v>24</v>
      </c>
      <c r="K26" s="245" t="s">
        <v>24</v>
      </c>
      <c r="L26" s="245" t="s">
        <v>24</v>
      </c>
      <c r="M26" s="248" t="s">
        <v>27</v>
      </c>
      <c r="N26" s="248" t="s">
        <v>27</v>
      </c>
      <c r="O26" s="248"/>
      <c r="P26" s="254"/>
      <c r="Q26" s="249"/>
      <c r="R26" s="243"/>
    </row>
    <row r="27" spans="1:18" s="244" customFormat="1" ht="29.45">
      <c r="A27" s="3437"/>
      <c r="B27" s="3440"/>
      <c r="C27" s="3445" t="s">
        <v>58</v>
      </c>
      <c r="D27" s="245">
        <v>2021</v>
      </c>
      <c r="E27" s="246" t="s">
        <v>22</v>
      </c>
      <c r="F27" s="247" t="s">
        <v>23</v>
      </c>
      <c r="G27" s="247" t="s">
        <v>23</v>
      </c>
      <c r="H27" s="245" t="s">
        <v>24</v>
      </c>
      <c r="I27" s="245" t="s">
        <v>24</v>
      </c>
      <c r="J27" s="245" t="s">
        <v>24</v>
      </c>
      <c r="K27" s="245" t="s">
        <v>24</v>
      </c>
      <c r="L27" s="245" t="s">
        <v>24</v>
      </c>
      <c r="M27" s="248" t="s">
        <v>27</v>
      </c>
      <c r="N27" s="248" t="s">
        <v>27</v>
      </c>
      <c r="O27" s="248"/>
      <c r="P27" s="254"/>
      <c r="Q27" s="249"/>
      <c r="R27" s="243"/>
    </row>
    <row r="28" spans="1:18" s="244" customFormat="1" ht="29.45">
      <c r="A28" s="3437"/>
      <c r="B28" s="3440"/>
      <c r="C28" s="3446"/>
      <c r="D28" s="245"/>
      <c r="E28" s="286" t="s">
        <v>59</v>
      </c>
      <c r="F28" s="247" t="s">
        <v>29</v>
      </c>
      <c r="G28" s="247" t="s">
        <v>29</v>
      </c>
      <c r="H28" s="245" t="s">
        <v>24</v>
      </c>
      <c r="I28" s="245" t="s">
        <v>24</v>
      </c>
      <c r="J28" s="245" t="s">
        <v>24</v>
      </c>
      <c r="K28" s="287" t="e">
        <f>'[1]Surface Access'!$I$22</f>
        <v>#REF!</v>
      </c>
      <c r="L28" s="287">
        <v>0.32900000000000001</v>
      </c>
      <c r="M28" s="277">
        <v>0.33400000000000002</v>
      </c>
      <c r="N28" s="277">
        <v>0.314</v>
      </c>
      <c r="O28" s="277">
        <v>0.3</v>
      </c>
      <c r="P28" s="254">
        <f t="shared" ref="P28:P40" si="2">(O28-N28)/N28</f>
        <v>-4.4585987261146535E-2</v>
      </c>
      <c r="Q28" s="262"/>
      <c r="R28" s="243"/>
    </row>
    <row r="29" spans="1:18" s="244" customFormat="1" ht="29.45">
      <c r="A29" s="3437"/>
      <c r="B29" s="3440"/>
      <c r="C29" s="3447"/>
      <c r="D29" s="245"/>
      <c r="E29" s="286" t="s">
        <v>60</v>
      </c>
      <c r="F29" s="247" t="s">
        <v>29</v>
      </c>
      <c r="G29" s="247" t="s">
        <v>29</v>
      </c>
      <c r="H29" s="245" t="s">
        <v>24</v>
      </c>
      <c r="I29" s="245" t="s">
        <v>24</v>
      </c>
      <c r="J29" s="245" t="s">
        <v>24</v>
      </c>
      <c r="K29" s="288">
        <f>'[1]Surface Access'!$I$10</f>
        <v>0</v>
      </c>
      <c r="L29" s="288">
        <f>'[1]Surface Access'!$N$10</f>
        <v>0</v>
      </c>
      <c r="M29" s="289">
        <f>'[1]Surface Access'!$S$10</f>
        <v>0</v>
      </c>
      <c r="N29" s="289"/>
      <c r="O29" s="289">
        <v>416325</v>
      </c>
      <c r="P29" s="254" t="e">
        <f t="shared" si="2"/>
        <v>#DIV/0!</v>
      </c>
      <c r="Q29" s="268"/>
      <c r="R29" s="243"/>
    </row>
    <row r="30" spans="1:18" s="244" customFormat="1" ht="29.45">
      <c r="A30" s="3437"/>
      <c r="B30" s="3440"/>
      <c r="C30" s="3447"/>
      <c r="D30" s="245"/>
      <c r="E30" s="290" t="s">
        <v>61</v>
      </c>
      <c r="F30" s="247" t="s">
        <v>29</v>
      </c>
      <c r="G30" s="247" t="s">
        <v>29</v>
      </c>
      <c r="H30" s="245" t="s">
        <v>24</v>
      </c>
      <c r="I30" s="245" t="s">
        <v>24</v>
      </c>
      <c r="J30" s="245" t="s">
        <v>24</v>
      </c>
      <c r="K30" s="291">
        <f>'[1]Surface Access'!$I$23</f>
        <v>0.3484100713884199</v>
      </c>
      <c r="L30" s="291">
        <f>'[1]Surface Access'!$N$23</f>
        <v>0.53826020480452774</v>
      </c>
      <c r="M30" s="292">
        <f>'[1]Surface Access'!$S$23</f>
        <v>0.53854067524322946</v>
      </c>
      <c r="N30" s="292"/>
      <c r="O30" s="292">
        <f>(O29/'G4-AO1, 2, 3 - PAX, ATM, Cargo'!H8)*100</f>
        <v>0.76982030019043912</v>
      </c>
      <c r="P30" s="254" t="e">
        <f t="shared" si="2"/>
        <v>#DIV/0!</v>
      </c>
      <c r="Q30" s="268"/>
      <c r="R30" s="243"/>
    </row>
    <row r="31" spans="1:18" s="244" customFormat="1" ht="29.45">
      <c r="A31" s="3437"/>
      <c r="B31" s="3440"/>
      <c r="C31" s="273" t="s">
        <v>62</v>
      </c>
      <c r="D31" s="245">
        <v>2023</v>
      </c>
      <c r="E31" s="246" t="s">
        <v>22</v>
      </c>
      <c r="F31" s="247" t="s">
        <v>23</v>
      </c>
      <c r="G31" s="247" t="s">
        <v>23</v>
      </c>
      <c r="H31" s="248" t="s">
        <v>24</v>
      </c>
      <c r="I31" s="248" t="s">
        <v>24</v>
      </c>
      <c r="J31" s="248" t="s">
        <v>24</v>
      </c>
      <c r="K31" s="248" t="s">
        <v>24</v>
      </c>
      <c r="L31" s="248" t="s">
        <v>24</v>
      </c>
      <c r="M31" s="248" t="s">
        <v>27</v>
      </c>
      <c r="N31" s="248" t="s">
        <v>27</v>
      </c>
      <c r="O31" s="248"/>
      <c r="P31" s="254"/>
      <c r="Q31" s="249"/>
      <c r="R31" s="243"/>
    </row>
    <row r="32" spans="1:18" s="244" customFormat="1" ht="59.45">
      <c r="A32" s="3437"/>
      <c r="B32" s="3440"/>
      <c r="C32" s="273" t="s">
        <v>63</v>
      </c>
      <c r="D32" s="245">
        <v>2024</v>
      </c>
      <c r="E32" s="246" t="s">
        <v>22</v>
      </c>
      <c r="F32" s="247" t="s">
        <v>23</v>
      </c>
      <c r="G32" s="247" t="s">
        <v>23</v>
      </c>
      <c r="H32" s="245" t="s">
        <v>24</v>
      </c>
      <c r="I32" s="245" t="s">
        <v>24</v>
      </c>
      <c r="J32" s="245" t="s">
        <v>24</v>
      </c>
      <c r="K32" s="245" t="s">
        <v>24</v>
      </c>
      <c r="L32" s="245" t="s">
        <v>24</v>
      </c>
      <c r="M32" s="248" t="s">
        <v>27</v>
      </c>
      <c r="N32" s="248" t="s">
        <v>27</v>
      </c>
      <c r="O32" s="248"/>
      <c r="P32" s="254"/>
      <c r="Q32" s="249"/>
      <c r="R32" s="243"/>
    </row>
    <row r="33" spans="1:18" s="244" customFormat="1" ht="39.6">
      <c r="A33" s="3437"/>
      <c r="B33" s="3440"/>
      <c r="C33" s="273" t="s">
        <v>64</v>
      </c>
      <c r="D33" s="245">
        <v>2025</v>
      </c>
      <c r="E33" s="246" t="s">
        <v>22</v>
      </c>
      <c r="F33" s="247" t="s">
        <v>23</v>
      </c>
      <c r="G33" s="247" t="s">
        <v>23</v>
      </c>
      <c r="H33" s="245" t="s">
        <v>24</v>
      </c>
      <c r="I33" s="245" t="s">
        <v>24</v>
      </c>
      <c r="J33" s="245" t="s">
        <v>24</v>
      </c>
      <c r="K33" s="245" t="s">
        <v>24</v>
      </c>
      <c r="L33" s="245" t="s">
        <v>24</v>
      </c>
      <c r="M33" s="248" t="s">
        <v>27</v>
      </c>
      <c r="N33" s="248" t="s">
        <v>27</v>
      </c>
      <c r="O33" s="248"/>
      <c r="P33" s="254"/>
      <c r="Q33" s="249"/>
      <c r="R33" s="243"/>
    </row>
    <row r="34" spans="1:18" s="244" customFormat="1" ht="39.6">
      <c r="A34" s="3437"/>
      <c r="B34" s="3440"/>
      <c r="C34" s="273" t="s">
        <v>65</v>
      </c>
      <c r="D34" s="245">
        <v>2025</v>
      </c>
      <c r="E34" s="246" t="s">
        <v>22</v>
      </c>
      <c r="F34" s="247" t="s">
        <v>23</v>
      </c>
      <c r="G34" s="247" t="s">
        <v>23</v>
      </c>
      <c r="H34" s="245" t="s">
        <v>24</v>
      </c>
      <c r="I34" s="245" t="s">
        <v>24</v>
      </c>
      <c r="J34" s="245" t="s">
        <v>24</v>
      </c>
      <c r="K34" s="245" t="s">
        <v>24</v>
      </c>
      <c r="L34" s="245" t="s">
        <v>24</v>
      </c>
      <c r="M34" s="248" t="s">
        <v>27</v>
      </c>
      <c r="N34" s="248" t="s">
        <v>27</v>
      </c>
      <c r="O34" s="248"/>
      <c r="P34" s="254"/>
      <c r="Q34" s="249"/>
      <c r="R34" s="243"/>
    </row>
    <row r="35" spans="1:18" s="244" customFormat="1" ht="59.45">
      <c r="A35" s="3437"/>
      <c r="B35" s="3440"/>
      <c r="C35" s="273" t="s">
        <v>66</v>
      </c>
      <c r="D35" s="245">
        <v>2025</v>
      </c>
      <c r="E35" s="246" t="s">
        <v>22</v>
      </c>
      <c r="F35" s="247" t="s">
        <v>23</v>
      </c>
      <c r="G35" s="247" t="s">
        <v>23</v>
      </c>
      <c r="H35" s="245" t="s">
        <v>24</v>
      </c>
      <c r="I35" s="245" t="s">
        <v>24</v>
      </c>
      <c r="J35" s="245" t="s">
        <v>24</v>
      </c>
      <c r="K35" s="245" t="s">
        <v>24</v>
      </c>
      <c r="L35" s="245" t="s">
        <v>24</v>
      </c>
      <c r="M35" s="248" t="s">
        <v>27</v>
      </c>
      <c r="N35" s="248" t="s">
        <v>27</v>
      </c>
      <c r="O35" s="248"/>
      <c r="P35" s="254"/>
      <c r="Q35" s="249"/>
      <c r="R35" s="243"/>
    </row>
    <row r="36" spans="1:18" s="244" customFormat="1" ht="29.45">
      <c r="A36" s="3437"/>
      <c r="B36" s="3440"/>
      <c r="C36" s="3445" t="s">
        <v>67</v>
      </c>
      <c r="D36" s="245">
        <v>2030</v>
      </c>
      <c r="E36" s="246" t="s">
        <v>22</v>
      </c>
      <c r="F36" s="247" t="s">
        <v>23</v>
      </c>
      <c r="G36" s="247" t="s">
        <v>23</v>
      </c>
      <c r="H36" s="245" t="s">
        <v>24</v>
      </c>
      <c r="I36" s="245" t="s">
        <v>24</v>
      </c>
      <c r="J36" s="245" t="s">
        <v>24</v>
      </c>
      <c r="K36" s="245" t="s">
        <v>24</v>
      </c>
      <c r="L36" s="245" t="s">
        <v>24</v>
      </c>
      <c r="M36" s="248" t="s">
        <v>27</v>
      </c>
      <c r="N36" s="248" t="s">
        <v>27</v>
      </c>
      <c r="O36" s="248"/>
      <c r="P36" s="254"/>
      <c r="Q36" s="249"/>
      <c r="R36" s="243"/>
    </row>
    <row r="37" spans="1:18" s="244" customFormat="1" ht="30" thickBot="1">
      <c r="A37" s="3437"/>
      <c r="B37" s="3440"/>
      <c r="C37" s="3446"/>
      <c r="D37" s="245"/>
      <c r="E37" s="286" t="s">
        <v>68</v>
      </c>
      <c r="F37" s="247" t="s">
        <v>29</v>
      </c>
      <c r="G37" s="247" t="s">
        <v>29</v>
      </c>
      <c r="H37" s="245" t="s">
        <v>24</v>
      </c>
      <c r="I37" s="245" t="s">
        <v>24</v>
      </c>
      <c r="J37" s="245" t="s">
        <v>24</v>
      </c>
      <c r="K37" s="245">
        <f>[1]Energy!$U$26</f>
        <v>306.07555865695372</v>
      </c>
      <c r="L37" s="293">
        <f>[1]Energy!$T$26</f>
        <v>316.37433719202744</v>
      </c>
      <c r="M37" s="294">
        <f>[1]Energy!$S$26</f>
        <v>191.04761480711502</v>
      </c>
      <c r="N37" s="294"/>
      <c r="O37" s="294"/>
      <c r="P37" s="254"/>
      <c r="Q37" s="268"/>
      <c r="R37" s="243"/>
    </row>
    <row r="38" spans="1:18" ht="59.45">
      <c r="A38" s="3448" t="s">
        <v>69</v>
      </c>
      <c r="B38" s="3450" t="s">
        <v>20</v>
      </c>
      <c r="C38" s="296" t="s">
        <v>70</v>
      </c>
      <c r="D38" s="297">
        <v>2020</v>
      </c>
      <c r="E38" s="298" t="s">
        <v>22</v>
      </c>
      <c r="F38" s="299" t="s">
        <v>23</v>
      </c>
      <c r="G38" s="299" t="s">
        <v>23</v>
      </c>
      <c r="H38" s="300" t="s">
        <v>24</v>
      </c>
      <c r="I38" s="300" t="s">
        <v>24</v>
      </c>
      <c r="J38" s="300" t="s">
        <v>24</v>
      </c>
      <c r="K38" s="300" t="s">
        <v>24</v>
      </c>
      <c r="L38" s="301" t="s">
        <v>24</v>
      </c>
      <c r="M38" s="302" t="s">
        <v>45</v>
      </c>
      <c r="N38" s="302" t="s">
        <v>71</v>
      </c>
      <c r="O38" s="302"/>
      <c r="P38" s="254"/>
      <c r="Q38" s="304"/>
    </row>
    <row r="39" spans="1:18" ht="29.45">
      <c r="A39" s="3449"/>
      <c r="B39" s="3451"/>
      <c r="C39" s="3452" t="s">
        <v>72</v>
      </c>
      <c r="D39" s="230"/>
      <c r="E39" s="305" t="s">
        <v>73</v>
      </c>
      <c r="F39" s="306" t="s">
        <v>23</v>
      </c>
      <c r="G39" s="307" t="s">
        <v>29</v>
      </c>
      <c r="H39" s="308">
        <f>'[1]H&amp;S and Sickness'!E35</f>
        <v>8</v>
      </c>
      <c r="I39" s="308" t="str">
        <f>'[1]H&amp;S and Sickness'!F35</f>
        <v> 8</v>
      </c>
      <c r="J39" s="308">
        <f>'[1]H&amp;S and Sickness'!G35</f>
        <v>10</v>
      </c>
      <c r="K39" s="308">
        <f>'[1]H&amp;S and Sickness'!H35</f>
        <v>20</v>
      </c>
      <c r="L39" s="309">
        <f>'[1]H&amp;S and Sickness'!K35</f>
        <v>12</v>
      </c>
      <c r="M39" s="310">
        <f>'[1]H&amp;S and Sickness'!N35</f>
        <v>2</v>
      </c>
      <c r="N39" s="310">
        <v>7</v>
      </c>
      <c r="O39" s="653">
        <v>8</v>
      </c>
      <c r="P39" s="254">
        <f t="shared" si="2"/>
        <v>0.14285714285714285</v>
      </c>
      <c r="Q39" s="654"/>
    </row>
    <row r="40" spans="1:18" ht="29.45">
      <c r="A40" s="3449"/>
      <c r="B40" s="3451"/>
      <c r="C40" s="3452"/>
      <c r="D40" s="230"/>
      <c r="E40" s="305" t="s">
        <v>74</v>
      </c>
      <c r="F40" s="306" t="s">
        <v>23</v>
      </c>
      <c r="G40" s="307" t="s">
        <v>29</v>
      </c>
      <c r="H40" s="308">
        <f>'[1]H&amp;S and Sickness'!E36</f>
        <v>17</v>
      </c>
      <c r="I40" s="308" t="str">
        <f>'[1]H&amp;S and Sickness'!F36</f>
        <v> 20</v>
      </c>
      <c r="J40" s="308">
        <f>'[1]H&amp;S and Sickness'!G36</f>
        <v>17</v>
      </c>
      <c r="K40" s="308">
        <f>'[1]H&amp;S and Sickness'!H36</f>
        <v>41</v>
      </c>
      <c r="L40" s="309">
        <f>'[1]H&amp;S and Sickness'!K36</f>
        <v>34</v>
      </c>
      <c r="M40" s="310">
        <f>'[1]H&amp;S and Sickness'!N36</f>
        <v>4</v>
      </c>
      <c r="N40" s="310">
        <v>25</v>
      </c>
      <c r="O40" s="653">
        <v>19</v>
      </c>
      <c r="P40" s="254">
        <f t="shared" si="2"/>
        <v>-0.24</v>
      </c>
      <c r="Q40" s="312"/>
    </row>
    <row r="41" spans="1:18" ht="29.45">
      <c r="A41" s="3449"/>
      <c r="B41" s="3451"/>
      <c r="C41" s="3452"/>
      <c r="D41" s="230"/>
      <c r="E41" s="313" t="s">
        <v>75</v>
      </c>
      <c r="F41" s="306" t="s">
        <v>23</v>
      </c>
      <c r="G41" s="307" t="s">
        <v>29</v>
      </c>
      <c r="H41" s="314">
        <f>'[1]H&amp;S and Sickness'!E52</f>
        <v>4.07E-2</v>
      </c>
      <c r="I41" s="314">
        <f>'[1]H&amp;S and Sickness'!F52</f>
        <v>2.07E-2</v>
      </c>
      <c r="J41" s="314">
        <f>'[1]H&amp;S and Sickness'!G52</f>
        <v>3.32E-2</v>
      </c>
      <c r="K41" s="314">
        <f>'[1]H&amp;S and Sickness'!H52</f>
        <v>3.56E-2</v>
      </c>
      <c r="L41" s="315">
        <f>'[1]H&amp;S and Sickness'!I52</f>
        <v>4.3200000000000002E-2</v>
      </c>
      <c r="M41" s="315">
        <f>'[1]H&amp;S and Sickness'!J52</f>
        <v>2.47E-2</v>
      </c>
      <c r="N41" s="315" t="s">
        <v>76</v>
      </c>
      <c r="O41" s="500"/>
      <c r="P41" s="254"/>
      <c r="Q41" s="316"/>
    </row>
    <row r="42" spans="1:18" ht="39.6">
      <c r="A42" s="3449"/>
      <c r="B42" s="3451"/>
      <c r="C42" s="3452"/>
      <c r="D42" s="317">
        <v>2020</v>
      </c>
      <c r="E42" s="318" t="s">
        <v>77</v>
      </c>
      <c r="F42" s="306" t="s">
        <v>23</v>
      </c>
      <c r="G42" s="306" t="s">
        <v>23</v>
      </c>
      <c r="H42" s="308" t="s">
        <v>24</v>
      </c>
      <c r="I42" s="308" t="s">
        <v>24</v>
      </c>
      <c r="J42" s="308" t="s">
        <v>24</v>
      </c>
      <c r="K42" s="308">
        <v>100</v>
      </c>
      <c r="L42" s="309">
        <v>100</v>
      </c>
      <c r="M42" s="310" t="s">
        <v>25</v>
      </c>
      <c r="N42" s="310" t="s">
        <v>25</v>
      </c>
      <c r="O42" s="310" t="s">
        <v>25</v>
      </c>
      <c r="P42" s="310" t="s">
        <v>25</v>
      </c>
      <c r="Q42" s="312"/>
    </row>
    <row r="43" spans="1:18" ht="29.45">
      <c r="A43" s="3449"/>
      <c r="B43" s="3451"/>
      <c r="C43" s="3453" t="s">
        <v>78</v>
      </c>
      <c r="D43" s="3455">
        <v>2025</v>
      </c>
      <c r="E43" s="321" t="s">
        <v>22</v>
      </c>
      <c r="F43" s="307" t="s">
        <v>23</v>
      </c>
      <c r="G43" s="307" t="s">
        <v>23</v>
      </c>
      <c r="H43" s="322" t="s">
        <v>24</v>
      </c>
      <c r="I43" s="322" t="s">
        <v>24</v>
      </c>
      <c r="J43" s="322" t="s">
        <v>24</v>
      </c>
      <c r="K43" s="322" t="s">
        <v>24</v>
      </c>
      <c r="L43" s="323" t="s">
        <v>24</v>
      </c>
      <c r="M43" s="310" t="s">
        <v>27</v>
      </c>
      <c r="N43" s="310" t="s">
        <v>27</v>
      </c>
      <c r="O43" s="310" t="s">
        <v>27</v>
      </c>
      <c r="P43" s="254"/>
      <c r="Q43" s="324"/>
    </row>
    <row r="44" spans="1:18" ht="29.45">
      <c r="A44" s="3449"/>
      <c r="B44" s="3451"/>
      <c r="C44" s="3454"/>
      <c r="D44" s="3456"/>
      <c r="E44" s="325" t="s">
        <v>79</v>
      </c>
      <c r="F44" s="307" t="s">
        <v>29</v>
      </c>
      <c r="G44" s="307" t="s">
        <v>29</v>
      </c>
      <c r="H44" s="322" t="s">
        <v>24</v>
      </c>
      <c r="I44" s="322" t="s">
        <v>24</v>
      </c>
      <c r="J44" s="322" t="s">
        <v>24</v>
      </c>
      <c r="K44" s="322" t="s">
        <v>24</v>
      </c>
      <c r="L44" s="315">
        <f>'[1]Employee Dev &amp; Engage'!J23</f>
        <v>0.4395</v>
      </c>
      <c r="M44" s="315">
        <v>0.23300000000000001</v>
      </c>
      <c r="N44" s="315">
        <v>0.46400000000000002</v>
      </c>
      <c r="O44" s="315">
        <v>0.27700000000000002</v>
      </c>
      <c r="P44" s="254">
        <f>(O44-N44)/N44</f>
        <v>-0.40301724137931033</v>
      </c>
      <c r="Q44" s="326"/>
    </row>
    <row r="45" spans="1:18" ht="29.45">
      <c r="A45" s="3449"/>
      <c r="B45" s="3451"/>
      <c r="C45" s="3453" t="s">
        <v>80</v>
      </c>
      <c r="D45" s="3455">
        <v>2020</v>
      </c>
      <c r="E45" s="327" t="s">
        <v>22</v>
      </c>
      <c r="F45" s="306" t="s">
        <v>23</v>
      </c>
      <c r="G45" s="306" t="s">
        <v>23</v>
      </c>
      <c r="H45" s="322" t="s">
        <v>24</v>
      </c>
      <c r="I45" s="322" t="s">
        <v>24</v>
      </c>
      <c r="J45" s="322" t="s">
        <v>24</v>
      </c>
      <c r="K45" s="322" t="s">
        <v>24</v>
      </c>
      <c r="L45" s="309" t="s">
        <v>24</v>
      </c>
      <c r="M45" s="310" t="s">
        <v>25</v>
      </c>
      <c r="N45" s="310" t="s">
        <v>25</v>
      </c>
      <c r="O45" s="310" t="s">
        <v>25</v>
      </c>
      <c r="P45" s="254"/>
      <c r="Q45" s="328"/>
    </row>
    <row r="46" spans="1:18" ht="79.150000000000006">
      <c r="A46" s="3449"/>
      <c r="B46" s="3451"/>
      <c r="C46" s="3457"/>
      <c r="D46" s="3459"/>
      <c r="E46" s="329" t="s">
        <v>81</v>
      </c>
      <c r="F46" s="307" t="s">
        <v>29</v>
      </c>
      <c r="G46" s="307" t="s">
        <v>29</v>
      </c>
      <c r="H46" s="330" t="s">
        <v>24</v>
      </c>
      <c r="I46" s="330" t="s">
        <v>24</v>
      </c>
      <c r="J46" s="330" t="s">
        <v>24</v>
      </c>
      <c r="K46" s="330">
        <f>'[1]Customer Health and Safety, All'!I55</f>
        <v>0.99423883926585588</v>
      </c>
      <c r="L46" s="330">
        <f>'[1]Customer Health and Safety, All'!M55</f>
        <v>0.99930461766245271</v>
      </c>
      <c r="M46" s="330">
        <f>'[1]Customer Health and Safety, All'!P55</f>
        <v>0.97081565299387085</v>
      </c>
      <c r="N46" s="330">
        <v>1</v>
      </c>
      <c r="O46" s="330">
        <f>AVERAGE('KPIs - MAN'!O46,'KPIs - EMA'!O46,'KPIs - STN'!O46)</f>
        <v>0.99733333333333329</v>
      </c>
      <c r="P46" s="254">
        <f t="shared" ref="P46:P49" si="3">(O46-N46)/N46</f>
        <v>-2.666666666666706E-3</v>
      </c>
      <c r="Q46" s="328"/>
    </row>
    <row r="47" spans="1:18" ht="79.150000000000006">
      <c r="A47" s="3449"/>
      <c r="B47" s="3451"/>
      <c r="C47" s="3457"/>
      <c r="D47" s="3459"/>
      <c r="E47" s="329" t="s">
        <v>82</v>
      </c>
      <c r="F47" s="307" t="s">
        <v>29</v>
      </c>
      <c r="G47" s="307" t="s">
        <v>29</v>
      </c>
      <c r="H47" s="330" t="s">
        <v>24</v>
      </c>
      <c r="I47" s="330" t="s">
        <v>24</v>
      </c>
      <c r="J47" s="330" t="s">
        <v>24</v>
      </c>
      <c r="K47" s="330">
        <f>'[1]Customer Health and Safety, All'!I58</f>
        <v>0.9973534911466152</v>
      </c>
      <c r="L47" s="330">
        <f>'[1]Customer Health and Safety, All'!M58</f>
        <v>0.99974935091998973</v>
      </c>
      <c r="M47" s="330">
        <f>'[1]Customer Health and Safety, All'!P58</f>
        <v>0.97844153706903647</v>
      </c>
      <c r="N47" s="330">
        <v>1</v>
      </c>
      <c r="O47" s="330">
        <f>AVERAGE('KPIs - MAN'!O47,'KPIs - EMA'!O47,'KPIs - STN'!O47)</f>
        <v>0.97460000000000002</v>
      </c>
      <c r="P47" s="254">
        <f t="shared" si="3"/>
        <v>-2.5399999999999978E-2</v>
      </c>
      <c r="Q47" s="328"/>
    </row>
    <row r="48" spans="1:18" ht="59.45">
      <c r="A48" s="3449"/>
      <c r="B48" s="3451"/>
      <c r="C48" s="3457"/>
      <c r="D48" s="3459"/>
      <c r="E48" s="329" t="s">
        <v>83</v>
      </c>
      <c r="F48" s="307" t="s">
        <v>29</v>
      </c>
      <c r="G48" s="307" t="s">
        <v>29</v>
      </c>
      <c r="H48" s="330" t="s">
        <v>24</v>
      </c>
      <c r="I48" s="330" t="s">
        <v>24</v>
      </c>
      <c r="J48" s="330" t="s">
        <v>24</v>
      </c>
      <c r="K48" s="330">
        <f>'[1]Customer Health and Safety, All'!I61</f>
        <v>0.97044039693122486</v>
      </c>
      <c r="L48" s="330">
        <f>'[1]Customer Health and Safety, All'!M61</f>
        <v>0.97970519313874427</v>
      </c>
      <c r="M48" s="330">
        <f>'[1]Customer Health and Safety, All'!P61</f>
        <v>0.98882299270072993</v>
      </c>
      <c r="N48" s="330">
        <v>0.97599999999999998</v>
      </c>
      <c r="O48" s="330">
        <v>0.95699999999999996</v>
      </c>
      <c r="P48" s="254">
        <f t="shared" si="3"/>
        <v>-1.9467213114754117E-2</v>
      </c>
      <c r="Q48" s="331"/>
    </row>
    <row r="49" spans="1:17" ht="59.45">
      <c r="A49" s="3449"/>
      <c r="B49" s="3451"/>
      <c r="C49" s="3457"/>
      <c r="D49" s="3459"/>
      <c r="E49" s="329" t="s">
        <v>84</v>
      </c>
      <c r="F49" s="307" t="s">
        <v>29</v>
      </c>
      <c r="G49" s="307" t="s">
        <v>29</v>
      </c>
      <c r="H49" s="330" t="s">
        <v>24</v>
      </c>
      <c r="I49" s="330" t="s">
        <v>24</v>
      </c>
      <c r="J49" s="330" t="s">
        <v>24</v>
      </c>
      <c r="K49" s="330">
        <f>'[1]Customer Health and Safety, All'!I64</f>
        <v>0.98410591226452382</v>
      </c>
      <c r="L49" s="330">
        <f>'[1]Customer Health and Safety, All'!M64</f>
        <v>0.99244646331941044</v>
      </c>
      <c r="M49" s="330">
        <f>'[1]Customer Health and Safety, All'!P64</f>
        <v>0.99443793911007028</v>
      </c>
      <c r="N49" s="330">
        <v>0.99399999999999999</v>
      </c>
      <c r="O49" s="330">
        <v>0.99299999999999999</v>
      </c>
      <c r="P49" s="254">
        <f t="shared" si="3"/>
        <v>-1.0060362173038239E-3</v>
      </c>
      <c r="Q49" s="331"/>
    </row>
    <row r="50" spans="1:17" ht="39.6">
      <c r="A50" s="3449"/>
      <c r="B50" s="3451"/>
      <c r="C50" s="3458"/>
      <c r="D50" s="3459"/>
      <c r="E50" s="332" t="s">
        <v>85</v>
      </c>
      <c r="F50" s="307" t="s">
        <v>29</v>
      </c>
      <c r="G50" s="307" t="s">
        <v>29</v>
      </c>
      <c r="H50" s="330" t="s">
        <v>24</v>
      </c>
      <c r="I50" s="330" t="s">
        <v>24</v>
      </c>
      <c r="J50" s="330" t="s">
        <v>24</v>
      </c>
      <c r="K50" s="333">
        <f>'[1]Customer Health and Safety, All'!I67</f>
        <v>3.9667453600376379</v>
      </c>
      <c r="L50" s="333">
        <f>'[1]Customer Health and Safety, All'!M67</f>
        <v>3.7853161975975356</v>
      </c>
      <c r="M50" s="333">
        <f>'[1]Customer Health and Safety, All'!P67</f>
        <v>4.063435615466477</v>
      </c>
      <c r="N50" s="333">
        <v>3.7</v>
      </c>
      <c r="O50" s="501" t="s">
        <v>24</v>
      </c>
      <c r="P50" s="254" t="s">
        <v>24</v>
      </c>
      <c r="Q50" s="334" t="s">
        <v>86</v>
      </c>
    </row>
    <row r="51" spans="1:17" ht="39.6">
      <c r="A51" s="3449"/>
      <c r="B51" s="3451"/>
      <c r="C51" s="335" t="s">
        <v>87</v>
      </c>
      <c r="D51" s="317">
        <v>2020</v>
      </c>
      <c r="E51" s="327" t="s">
        <v>22</v>
      </c>
      <c r="F51" s="306" t="s">
        <v>23</v>
      </c>
      <c r="G51" s="306" t="s">
        <v>23</v>
      </c>
      <c r="H51" s="308" t="s">
        <v>24</v>
      </c>
      <c r="I51" s="308" t="s">
        <v>24</v>
      </c>
      <c r="J51" s="308" t="s">
        <v>24</v>
      </c>
      <c r="K51" s="308" t="s">
        <v>24</v>
      </c>
      <c r="L51" s="309" t="s">
        <v>24</v>
      </c>
      <c r="M51" s="310" t="s">
        <v>45</v>
      </c>
      <c r="N51" s="310" t="s">
        <v>45</v>
      </c>
      <c r="O51" s="310" t="s">
        <v>45</v>
      </c>
      <c r="P51" s="254"/>
      <c r="Q51" s="324"/>
    </row>
    <row r="52" spans="1:17" ht="59.45">
      <c r="A52" s="3449"/>
      <c r="B52" s="3451"/>
      <c r="C52" s="335" t="s">
        <v>88</v>
      </c>
      <c r="D52" s="337">
        <v>2025</v>
      </c>
      <c r="E52" s="338" t="s">
        <v>22</v>
      </c>
      <c r="F52" s="339" t="s">
        <v>23</v>
      </c>
      <c r="G52" s="339" t="s">
        <v>23</v>
      </c>
      <c r="H52" s="340" t="s">
        <v>24</v>
      </c>
      <c r="I52" s="340" t="s">
        <v>24</v>
      </c>
      <c r="J52" s="340" t="s">
        <v>24</v>
      </c>
      <c r="K52" s="340" t="s">
        <v>24</v>
      </c>
      <c r="L52" s="340" t="s">
        <v>24</v>
      </c>
      <c r="M52" s="310" t="s">
        <v>27</v>
      </c>
      <c r="N52" s="310" t="s">
        <v>27</v>
      </c>
      <c r="O52" s="310" t="s">
        <v>27</v>
      </c>
      <c r="P52" s="254"/>
      <c r="Q52" s="324"/>
    </row>
    <row r="53" spans="1:17" ht="39.6">
      <c r="A53" s="3449"/>
      <c r="B53" s="3451"/>
      <c r="C53" s="335" t="s">
        <v>89</v>
      </c>
      <c r="D53" s="337">
        <v>2020</v>
      </c>
      <c r="E53" s="338" t="s">
        <v>22</v>
      </c>
      <c r="F53" s="339" t="s">
        <v>23</v>
      </c>
      <c r="G53" s="339" t="s">
        <v>23</v>
      </c>
      <c r="H53" s="340" t="s">
        <v>24</v>
      </c>
      <c r="I53" s="340" t="s">
        <v>24</v>
      </c>
      <c r="J53" s="340" t="s">
        <v>24</v>
      </c>
      <c r="K53" s="340" t="s">
        <v>24</v>
      </c>
      <c r="L53" s="341" t="s">
        <v>24</v>
      </c>
      <c r="M53" s="310" t="s">
        <v>25</v>
      </c>
      <c r="N53" s="310" t="s">
        <v>25</v>
      </c>
      <c r="O53" s="310" t="s">
        <v>25</v>
      </c>
      <c r="P53" s="254"/>
      <c r="Q53" s="328"/>
    </row>
    <row r="54" spans="1:17" ht="59.45">
      <c r="A54" s="3449"/>
      <c r="B54" s="3451"/>
      <c r="C54" s="342" t="s">
        <v>90</v>
      </c>
      <c r="D54" s="337">
        <v>2025</v>
      </c>
      <c r="E54" s="343" t="s">
        <v>91</v>
      </c>
      <c r="F54" s="339" t="s">
        <v>29</v>
      </c>
      <c r="G54" s="339" t="s">
        <v>29</v>
      </c>
      <c r="H54" s="344">
        <f>'[1]Work Placement, Apprentices and'!F25</f>
        <v>20523</v>
      </c>
      <c r="I54" s="344">
        <f>'[1]Work Placement, Apprentices and'!G25</f>
        <v>21130</v>
      </c>
      <c r="J54" s="344">
        <f>'[1]Work Placement, Apprentices and'!H25</f>
        <v>30654</v>
      </c>
      <c r="K54" s="344">
        <f>'[1]Work Placement, Apprentices and'!I25</f>
        <v>30458</v>
      </c>
      <c r="L54" s="344">
        <f>'[1]Work Placement, Apprentices and'!J25</f>
        <v>26316</v>
      </c>
      <c r="M54" s="345">
        <f>'[1]Work Placement, Apprentices and'!K25</f>
        <v>435</v>
      </c>
      <c r="N54" s="345">
        <v>9632</v>
      </c>
      <c r="O54" s="345">
        <v>18662</v>
      </c>
      <c r="P54" s="254">
        <f>(O54-N54)/N54</f>
        <v>0.9375</v>
      </c>
      <c r="Q54" s="346"/>
    </row>
    <row r="55" spans="1:17" ht="29.45">
      <c r="A55" s="3449"/>
      <c r="B55" s="3451"/>
      <c r="C55" s="3453" t="s">
        <v>92</v>
      </c>
      <c r="D55" s="3455">
        <v>2025</v>
      </c>
      <c r="E55" s="327" t="s">
        <v>22</v>
      </c>
      <c r="F55" s="307" t="s">
        <v>23</v>
      </c>
      <c r="G55" s="307" t="s">
        <v>23</v>
      </c>
      <c r="H55" s="322" t="s">
        <v>24</v>
      </c>
      <c r="I55" s="322" t="s">
        <v>24</v>
      </c>
      <c r="J55" s="322" t="s">
        <v>24</v>
      </c>
      <c r="K55" s="322" t="s">
        <v>24</v>
      </c>
      <c r="L55" s="322" t="s">
        <v>24</v>
      </c>
      <c r="M55" s="310" t="s">
        <v>27</v>
      </c>
      <c r="N55" s="310" t="s">
        <v>27</v>
      </c>
      <c r="O55" s="310"/>
      <c r="P55" s="254"/>
      <c r="Q55" s="347"/>
    </row>
    <row r="56" spans="1:17" ht="39.6">
      <c r="A56" s="3449"/>
      <c r="B56" s="3451"/>
      <c r="C56" s="3460"/>
      <c r="D56" s="3456"/>
      <c r="E56" s="343" t="s">
        <v>93</v>
      </c>
      <c r="F56" s="307" t="s">
        <v>29</v>
      </c>
      <c r="G56" s="339" t="s">
        <v>29</v>
      </c>
      <c r="H56" s="348" t="s">
        <v>24</v>
      </c>
      <c r="I56" s="348" t="s">
        <v>24</v>
      </c>
      <c r="J56" s="348" t="s">
        <v>24</v>
      </c>
      <c r="K56" s="348" t="s">
        <v>24</v>
      </c>
      <c r="L56" s="348" t="s">
        <v>24</v>
      </c>
      <c r="M56" s="349">
        <f>'[1]Airport Academies&amp;aerozones T&amp;D'!$M$51</f>
        <v>0.66200000000000003</v>
      </c>
      <c r="N56" s="349">
        <v>0.76</v>
      </c>
      <c r="O56" s="349">
        <v>0.626</v>
      </c>
      <c r="P56" s="254">
        <f t="shared" ref="P56:P84" si="4">(O56-N56)/N56</f>
        <v>-0.17631578947368423</v>
      </c>
      <c r="Q56" s="331"/>
    </row>
    <row r="57" spans="1:17" ht="59.45">
      <c r="A57" s="3449"/>
      <c r="B57" s="3451"/>
      <c r="C57" s="320" t="s">
        <v>94</v>
      </c>
      <c r="D57" s="317">
        <v>2025</v>
      </c>
      <c r="E57" s="327" t="s">
        <v>22</v>
      </c>
      <c r="F57" s="307" t="s">
        <v>23</v>
      </c>
      <c r="G57" s="307" t="s">
        <v>23</v>
      </c>
      <c r="H57" s="322" t="s">
        <v>24</v>
      </c>
      <c r="I57" s="322" t="s">
        <v>24</v>
      </c>
      <c r="J57" s="322" t="s">
        <v>24</v>
      </c>
      <c r="K57" s="322" t="s">
        <v>24</v>
      </c>
      <c r="L57" s="322" t="s">
        <v>24</v>
      </c>
      <c r="M57" s="310" t="s">
        <v>27</v>
      </c>
      <c r="N57" s="310" t="s">
        <v>27</v>
      </c>
      <c r="O57" s="310" t="s">
        <v>27</v>
      </c>
      <c r="P57" s="254"/>
      <c r="Q57" s="324"/>
    </row>
    <row r="58" spans="1:17" ht="29.45">
      <c r="A58" s="3449"/>
      <c r="B58" s="3451"/>
      <c r="C58" s="3461" t="s">
        <v>95</v>
      </c>
      <c r="D58" s="3463">
        <v>2025</v>
      </c>
      <c r="E58" s="318" t="s">
        <v>96</v>
      </c>
      <c r="F58" s="307" t="s">
        <v>29</v>
      </c>
      <c r="G58" s="307" t="s">
        <v>29</v>
      </c>
      <c r="H58" s="322">
        <f>'[1]Airport Academies&amp;aerozones T&amp;D'!D30</f>
        <v>503</v>
      </c>
      <c r="I58" s="322">
        <f>'[1]Airport Academies&amp;aerozones T&amp;D'!E30</f>
        <v>948</v>
      </c>
      <c r="J58" s="322">
        <f>'[1]Airport Academies&amp;aerozones T&amp;D'!F30</f>
        <v>634</v>
      </c>
      <c r="K58" s="322">
        <f>'[1]Airport Academies&amp;aerozones T&amp;D'!G30</f>
        <v>759</v>
      </c>
      <c r="L58" s="322">
        <f>'[1]Airport Academies&amp;aerozones T&amp;D'!J30</f>
        <v>706</v>
      </c>
      <c r="M58" s="351">
        <v>1055</v>
      </c>
      <c r="N58" s="351">
        <v>10757</v>
      </c>
      <c r="O58" s="369">
        <v>12525</v>
      </c>
      <c r="P58" s="254">
        <f t="shared" si="4"/>
        <v>0.16435809240494562</v>
      </c>
      <c r="Q58" s="352"/>
    </row>
    <row r="59" spans="1:17" ht="29.45">
      <c r="A59" s="3449"/>
      <c r="B59" s="3451"/>
      <c r="C59" s="3462"/>
      <c r="D59" s="3464"/>
      <c r="E59" s="305" t="s">
        <v>97</v>
      </c>
      <c r="F59" s="307" t="s">
        <v>29</v>
      </c>
      <c r="G59" s="307" t="s">
        <v>29</v>
      </c>
      <c r="H59" s="322" t="s">
        <v>24</v>
      </c>
      <c r="I59" s="322" t="s">
        <v>24</v>
      </c>
      <c r="J59" s="322" t="s">
        <v>24</v>
      </c>
      <c r="K59" s="322" t="s">
        <v>24</v>
      </c>
      <c r="L59" s="322" t="s">
        <v>24</v>
      </c>
      <c r="M59" s="315">
        <v>0.17599999999999999</v>
      </c>
      <c r="N59" s="315">
        <v>0.17199999999999999</v>
      </c>
      <c r="O59" s="315">
        <v>0.28899999999999998</v>
      </c>
      <c r="P59" s="254">
        <f t="shared" si="4"/>
        <v>0.68023255813953487</v>
      </c>
      <c r="Q59" s="352"/>
    </row>
    <row r="60" spans="1:17" ht="39.6">
      <c r="A60" s="3449"/>
      <c r="B60" s="3451"/>
      <c r="C60" s="3462"/>
      <c r="D60" s="3464"/>
      <c r="E60" s="305" t="s">
        <v>98</v>
      </c>
      <c r="F60" s="307" t="s">
        <v>23</v>
      </c>
      <c r="G60" s="307" t="s">
        <v>23</v>
      </c>
      <c r="H60" s="353">
        <f>'[1]Airport Academies&amp;aerozones T&amp;D'!D31</f>
        <v>333</v>
      </c>
      <c r="I60" s="353">
        <f>'[1]Airport Academies&amp;aerozones T&amp;D'!E31</f>
        <v>713</v>
      </c>
      <c r="J60" s="353">
        <f>'[1]Airport Academies&amp;aerozones T&amp;D'!F31</f>
        <v>518</v>
      </c>
      <c r="K60" s="353">
        <f>'[1]Airport Academies&amp;aerozones T&amp;D'!G31</f>
        <v>604</v>
      </c>
      <c r="L60" s="353">
        <f>'[1]Airport Academies&amp;aerozones T&amp;D'!J31</f>
        <v>564</v>
      </c>
      <c r="M60" s="354">
        <f>'[1]Airport Academies&amp;aerozones T&amp;D'!$M$33</f>
        <v>35</v>
      </c>
      <c r="N60" s="354">
        <v>97</v>
      </c>
      <c r="O60" s="354">
        <v>245</v>
      </c>
      <c r="P60" s="254">
        <f t="shared" si="4"/>
        <v>1.5257731958762886</v>
      </c>
      <c r="Q60" s="352"/>
    </row>
    <row r="61" spans="1:17" ht="39.6">
      <c r="A61" s="3449"/>
      <c r="B61" s="3451"/>
      <c r="C61" s="3462"/>
      <c r="D61" s="3464"/>
      <c r="E61" s="356" t="s">
        <v>99</v>
      </c>
      <c r="F61" s="307" t="s">
        <v>23</v>
      </c>
      <c r="G61" s="307" t="s">
        <v>29</v>
      </c>
      <c r="H61" s="315">
        <f>'[1]Airport Academies&amp;aerozones T&amp;D'!D32</f>
        <v>0.66202783300198809</v>
      </c>
      <c r="I61" s="315">
        <f>'[1]Airport Academies&amp;aerozones T&amp;D'!E32</f>
        <v>0.75210970464135019</v>
      </c>
      <c r="J61" s="315">
        <f>'[1]Airport Academies&amp;aerozones T&amp;D'!F32</f>
        <v>0.81703470031545744</v>
      </c>
      <c r="K61" s="315">
        <f>'[1]Airport Academies&amp;aerozones T&amp;D'!G32</f>
        <v>0.79578392621870886</v>
      </c>
      <c r="L61" s="315">
        <f>'[1]Airport Academies&amp;aerozones T&amp;D'!J32</f>
        <v>0.79886685552407932</v>
      </c>
      <c r="M61" s="315">
        <f>'[1]Airport Academies&amp;aerozones T&amp;D'!$M$25</f>
        <v>1E-3</v>
      </c>
      <c r="N61" s="315">
        <v>0.04</v>
      </c>
      <c r="O61" s="315">
        <v>0.28899999999999998</v>
      </c>
      <c r="P61" s="254">
        <f t="shared" si="4"/>
        <v>6.2249999999999988</v>
      </c>
      <c r="Q61" s="352"/>
    </row>
    <row r="62" spans="1:17" ht="59.45">
      <c r="A62" s="3449"/>
      <c r="B62" s="3451"/>
      <c r="C62" s="3462"/>
      <c r="D62" s="3465"/>
      <c r="E62" s="335" t="s">
        <v>100</v>
      </c>
      <c r="F62" s="339" t="s">
        <v>23</v>
      </c>
      <c r="G62" s="339" t="s">
        <v>23</v>
      </c>
      <c r="H62" s="340" t="s">
        <v>24</v>
      </c>
      <c r="I62" s="340" t="s">
        <v>24</v>
      </c>
      <c r="J62" s="340" t="s">
        <v>24</v>
      </c>
      <c r="K62" s="340" t="s">
        <v>24</v>
      </c>
      <c r="L62" s="340" t="s">
        <v>24</v>
      </c>
      <c r="M62" s="310" t="s">
        <v>27</v>
      </c>
      <c r="N62" s="310" t="s">
        <v>27</v>
      </c>
      <c r="O62" s="310" t="s">
        <v>27</v>
      </c>
      <c r="P62" s="254"/>
      <c r="Q62" s="324"/>
    </row>
    <row r="63" spans="1:17" ht="59.45">
      <c r="A63" s="3449"/>
      <c r="B63" s="3451"/>
      <c r="C63" s="320" t="s">
        <v>101</v>
      </c>
      <c r="D63" s="317">
        <v>2025</v>
      </c>
      <c r="E63" s="357" t="s">
        <v>22</v>
      </c>
      <c r="F63" s="307" t="s">
        <v>23</v>
      </c>
      <c r="G63" s="307" t="s">
        <v>23</v>
      </c>
      <c r="H63" s="322" t="s">
        <v>24</v>
      </c>
      <c r="I63" s="322" t="s">
        <v>24</v>
      </c>
      <c r="J63" s="322" t="s">
        <v>24</v>
      </c>
      <c r="K63" s="322" t="s">
        <v>24</v>
      </c>
      <c r="L63" s="322" t="s">
        <v>24</v>
      </c>
      <c r="M63" s="310" t="s">
        <v>27</v>
      </c>
      <c r="N63" s="310" t="s">
        <v>27</v>
      </c>
      <c r="O63" s="310" t="s">
        <v>27</v>
      </c>
      <c r="P63" s="254"/>
      <c r="Q63" s="324"/>
    </row>
    <row r="64" spans="1:17" ht="79.900000000000006" thickBot="1">
      <c r="A64" s="3449"/>
      <c r="B64" s="3451"/>
      <c r="C64" s="358" t="s">
        <v>102</v>
      </c>
      <c r="D64" s="359">
        <v>2025</v>
      </c>
      <c r="E64" s="360" t="s">
        <v>22</v>
      </c>
      <c r="F64" s="361" t="s">
        <v>23</v>
      </c>
      <c r="G64" s="361" t="s">
        <v>23</v>
      </c>
      <c r="H64" s="362" t="s">
        <v>24</v>
      </c>
      <c r="I64" s="362" t="s">
        <v>24</v>
      </c>
      <c r="J64" s="362" t="s">
        <v>24</v>
      </c>
      <c r="K64" s="362" t="s">
        <v>24</v>
      </c>
      <c r="L64" s="362" t="s">
        <v>24</v>
      </c>
      <c r="M64" s="363" t="s">
        <v>27</v>
      </c>
      <c r="N64" s="363" t="s">
        <v>27</v>
      </c>
      <c r="O64" s="363" t="s">
        <v>27</v>
      </c>
      <c r="P64" s="254"/>
      <c r="Q64" s="364"/>
    </row>
    <row r="65" spans="1:17" ht="29.45">
      <c r="A65" s="3449"/>
      <c r="B65" s="3451"/>
      <c r="C65" s="3466" t="s">
        <v>103</v>
      </c>
      <c r="D65" s="3455">
        <v>2020</v>
      </c>
      <c r="E65" s="318" t="s">
        <v>104</v>
      </c>
      <c r="F65" s="306" t="s">
        <v>23</v>
      </c>
      <c r="G65" s="306" t="s">
        <v>23</v>
      </c>
      <c r="H65" s="308" t="s">
        <v>24</v>
      </c>
      <c r="I65" s="308" t="s">
        <v>24</v>
      </c>
      <c r="J65" s="308" t="s">
        <v>24</v>
      </c>
      <c r="K65" s="308" t="s">
        <v>24</v>
      </c>
      <c r="L65" s="309" t="s">
        <v>24</v>
      </c>
      <c r="M65" s="310" t="s">
        <v>45</v>
      </c>
      <c r="N65" s="310" t="s">
        <v>105</v>
      </c>
      <c r="O65" s="310" t="s">
        <v>105</v>
      </c>
      <c r="P65" s="254"/>
      <c r="Q65" s="324"/>
    </row>
    <row r="66" spans="1:17" ht="29.45">
      <c r="A66" s="3449"/>
      <c r="B66" s="3451"/>
      <c r="C66" s="3453"/>
      <c r="D66" s="3459"/>
      <c r="E66" s="365" t="s">
        <v>106</v>
      </c>
      <c r="F66" s="306" t="s">
        <v>23</v>
      </c>
      <c r="G66" s="307" t="s">
        <v>29</v>
      </c>
      <c r="H66" s="311">
        <f>'[1]Procurement practices'!D20</f>
        <v>0.27596664139499621</v>
      </c>
      <c r="I66" s="311">
        <f>'[1]Procurement practices'!E20</f>
        <v>0.277710843373494</v>
      </c>
      <c r="J66" s="311">
        <f>'[1]Procurement practices'!F20</f>
        <v>0.25965537730243615</v>
      </c>
      <c r="K66" s="311">
        <f>'[1]Procurement practices'!I20</f>
        <v>0.27639751552795033</v>
      </c>
      <c r="L66" s="311">
        <f>'[1]Procurement practices'!L20</f>
        <v>0.27296082209377009</v>
      </c>
      <c r="M66" s="366">
        <f>'[1]Procurement practices'!O20</f>
        <v>0.25109745390693589</v>
      </c>
      <c r="N66" s="366">
        <v>0.26</v>
      </c>
      <c r="O66" s="366">
        <v>0.24</v>
      </c>
      <c r="P66" s="254">
        <f t="shared" si="4"/>
        <v>-7.6923076923076983E-2</v>
      </c>
      <c r="Q66" s="367"/>
    </row>
    <row r="67" spans="1:17" ht="39.6">
      <c r="A67" s="3449"/>
      <c r="B67" s="3451"/>
      <c r="C67" s="3453"/>
      <c r="D67" s="3459"/>
      <c r="E67" s="365" t="s">
        <v>107</v>
      </c>
      <c r="F67" s="306" t="s">
        <v>23</v>
      </c>
      <c r="G67" s="307" t="s">
        <v>29</v>
      </c>
      <c r="H67" s="311">
        <f>'[1]Procurement practices'!D21</f>
        <v>0.307</v>
      </c>
      <c r="I67" s="311">
        <f>'[1]Procurement practices'!E21</f>
        <v>0.30199999999999999</v>
      </c>
      <c r="J67" s="311">
        <f>'[1]Procurement practices'!F21</f>
        <v>0.14209336219862284</v>
      </c>
      <c r="K67" s="311">
        <f>'[1]Procurement practices'!I21</f>
        <v>0.14499999999999999</v>
      </c>
      <c r="L67" s="311">
        <f>'[1]Procurement practices'!L21</f>
        <v>0.14699999999999999</v>
      </c>
      <c r="M67" s="366">
        <f>'[1]Procurement practices'!O21</f>
        <v>0.16700000000000001</v>
      </c>
      <c r="N67" s="366">
        <v>0.216</v>
      </c>
      <c r="O67" s="366">
        <v>0.22500000000000001</v>
      </c>
      <c r="P67" s="254">
        <f t="shared" si="4"/>
        <v>4.1666666666666706E-2</v>
      </c>
      <c r="Q67" s="352"/>
    </row>
    <row r="68" spans="1:17" ht="39.6">
      <c r="A68" s="3449"/>
      <c r="B68" s="3451"/>
      <c r="C68" s="3457"/>
      <c r="D68" s="3459"/>
      <c r="E68" s="368" t="s">
        <v>108</v>
      </c>
      <c r="F68" s="306" t="s">
        <v>23</v>
      </c>
      <c r="G68" s="306" t="s">
        <v>23</v>
      </c>
      <c r="H68" s="351">
        <f>'[1]Economic Performance'!E10</f>
        <v>6160</v>
      </c>
      <c r="I68" s="351">
        <f>'[1]Economic Performance'!F10</f>
        <v>7060</v>
      </c>
      <c r="J68" s="351">
        <f>'[1]Economic Performance'!I10</f>
        <v>7750</v>
      </c>
      <c r="K68" s="351">
        <f>'[1]Economic Performance'!L10</f>
        <v>8200</v>
      </c>
      <c r="L68" s="351" t="str">
        <f>'[1]Economic Performance'!O10</f>
        <v>Not measured this year</v>
      </c>
      <c r="M68" s="351" t="str">
        <f>'[1]Economic Performance'!R10</f>
        <v>Not measured this year</v>
      </c>
      <c r="N68" s="351" t="s">
        <v>109</v>
      </c>
      <c r="O68" s="351" t="s">
        <v>109</v>
      </c>
      <c r="P68" s="254"/>
      <c r="Q68" s="371"/>
    </row>
    <row r="69" spans="1:17" ht="39.6">
      <c r="A69" s="3449"/>
      <c r="B69" s="3451"/>
      <c r="C69" s="335" t="s">
        <v>110</v>
      </c>
      <c r="D69" s="317">
        <v>2021</v>
      </c>
      <c r="E69" s="327" t="s">
        <v>22</v>
      </c>
      <c r="F69" s="307" t="s">
        <v>23</v>
      </c>
      <c r="G69" s="307" t="s">
        <v>23</v>
      </c>
      <c r="H69" s="322" t="s">
        <v>24</v>
      </c>
      <c r="I69" s="322" t="s">
        <v>24</v>
      </c>
      <c r="J69" s="322" t="s">
        <v>24</v>
      </c>
      <c r="K69" s="322" t="s">
        <v>24</v>
      </c>
      <c r="L69" s="323" t="s">
        <v>24</v>
      </c>
      <c r="M69" s="310" t="s">
        <v>27</v>
      </c>
      <c r="N69" s="310" t="s">
        <v>76</v>
      </c>
      <c r="O69" s="310"/>
      <c r="P69" s="254"/>
      <c r="Q69" s="324"/>
    </row>
    <row r="70" spans="1:17" ht="59.45">
      <c r="A70" s="3449"/>
      <c r="B70" s="3451"/>
      <c r="C70" s="335" t="s">
        <v>111</v>
      </c>
      <c r="D70" s="317">
        <v>2021</v>
      </c>
      <c r="E70" s="327" t="s">
        <v>22</v>
      </c>
      <c r="F70" s="307" t="s">
        <v>23</v>
      </c>
      <c r="G70" s="307" t="s">
        <v>23</v>
      </c>
      <c r="H70" s="322" t="s">
        <v>24</v>
      </c>
      <c r="I70" s="322" t="s">
        <v>24</v>
      </c>
      <c r="J70" s="322" t="s">
        <v>24</v>
      </c>
      <c r="K70" s="322" t="s">
        <v>24</v>
      </c>
      <c r="L70" s="323" t="s">
        <v>24</v>
      </c>
      <c r="M70" s="310" t="s">
        <v>27</v>
      </c>
      <c r="N70" s="310" t="s">
        <v>76</v>
      </c>
      <c r="O70" s="310"/>
      <c r="P70" s="254"/>
      <c r="Q70" s="324"/>
    </row>
    <row r="71" spans="1:17" ht="29.45">
      <c r="A71" s="3449"/>
      <c r="B71" s="3451"/>
      <c r="C71" s="3466" t="s">
        <v>112</v>
      </c>
      <c r="D71" s="317">
        <v>2021</v>
      </c>
      <c r="E71" s="327" t="s">
        <v>22</v>
      </c>
      <c r="F71" s="307" t="s">
        <v>23</v>
      </c>
      <c r="G71" s="307" t="s">
        <v>23</v>
      </c>
      <c r="H71" s="322" t="s">
        <v>24</v>
      </c>
      <c r="I71" s="322" t="s">
        <v>24</v>
      </c>
      <c r="J71" s="322" t="s">
        <v>24</v>
      </c>
      <c r="K71" s="322" t="s">
        <v>24</v>
      </c>
      <c r="L71" s="323" t="s">
        <v>24</v>
      </c>
      <c r="M71" s="310" t="s">
        <v>27</v>
      </c>
      <c r="N71" s="310" t="s">
        <v>76</v>
      </c>
      <c r="O71" s="310"/>
      <c r="P71" s="254"/>
      <c r="Q71" s="324"/>
    </row>
    <row r="72" spans="1:17" ht="29.45">
      <c r="A72" s="3449"/>
      <c r="B72" s="3451"/>
      <c r="C72" s="3467"/>
      <c r="D72" s="372" t="s">
        <v>24</v>
      </c>
      <c r="E72" s="343" t="s">
        <v>113</v>
      </c>
      <c r="F72" s="307" t="s">
        <v>23</v>
      </c>
      <c r="G72" s="307" t="s">
        <v>23</v>
      </c>
      <c r="H72" s="487">
        <f>'[1]Diversity and Equal Opportunity'!F60</f>
        <v>1780</v>
      </c>
      <c r="I72" s="487">
        <f>'[1]Diversity and Equal Opportunity'!H60</f>
        <v>1948</v>
      </c>
      <c r="J72" s="487">
        <f>'[1]Diversity and Equal Opportunity'!J60</f>
        <v>2365</v>
      </c>
      <c r="K72" s="487">
        <f>'[1]Diversity and Equal Opportunity'!L60</f>
        <v>2608</v>
      </c>
      <c r="L72" s="487">
        <f>'[1]Diversity and Equal Opportunity'!N60</f>
        <v>2593</v>
      </c>
      <c r="M72" s="487">
        <f>'[1]Diversity and Equal Opportunity'!P60</f>
        <v>1854</v>
      </c>
      <c r="N72" s="374"/>
      <c r="O72" s="374"/>
      <c r="P72" s="254"/>
      <c r="Q72" s="316"/>
    </row>
    <row r="73" spans="1:17" ht="29.45">
      <c r="A73" s="3449"/>
      <c r="B73" s="3451"/>
      <c r="C73" s="3453" t="s">
        <v>114</v>
      </c>
      <c r="D73" s="317">
        <v>2021</v>
      </c>
      <c r="E73" s="327" t="s">
        <v>22</v>
      </c>
      <c r="F73" s="307" t="s">
        <v>23</v>
      </c>
      <c r="G73" s="307" t="s">
        <v>23</v>
      </c>
      <c r="H73" s="322" t="s">
        <v>24</v>
      </c>
      <c r="I73" s="322" t="s">
        <v>24</v>
      </c>
      <c r="J73" s="322" t="s">
        <v>24</v>
      </c>
      <c r="K73" s="322" t="s">
        <v>24</v>
      </c>
      <c r="L73" s="323" t="s">
        <v>24</v>
      </c>
      <c r="M73" s="310" t="s">
        <v>27</v>
      </c>
      <c r="N73" s="310"/>
      <c r="O73" s="310"/>
      <c r="P73" s="254"/>
      <c r="Q73" s="324"/>
    </row>
    <row r="74" spans="1:17" ht="59.45">
      <c r="A74" s="3449"/>
      <c r="B74" s="3451"/>
      <c r="C74" s="3454"/>
      <c r="D74" s="372" t="s">
        <v>24</v>
      </c>
      <c r="E74" s="368" t="s">
        <v>115</v>
      </c>
      <c r="F74" s="307" t="s">
        <v>23</v>
      </c>
      <c r="G74" s="307" t="s">
        <v>23</v>
      </c>
      <c r="H74" s="330">
        <f>'[1]Employee Dev &amp; Engage'!D34</f>
        <v>0.53</v>
      </c>
      <c r="I74" s="330">
        <f>'[1]Employee Dev &amp; Engage'!E34</f>
        <v>0.55000000000000004</v>
      </c>
      <c r="J74" s="330" t="str">
        <f>'[1]Employee Dev &amp; Engage'!F34</f>
        <v>No survey carried out this year</v>
      </c>
      <c r="K74" s="330" t="str">
        <f>'[1]Employee Dev &amp; Engage'!G34</f>
        <v>No survey carried out this year</v>
      </c>
      <c r="L74" s="330">
        <f>'[1]Employee Dev &amp; Engage'!J34</f>
        <v>0.55000000000000004</v>
      </c>
      <c r="M74" s="330" t="str">
        <f>'[1]Employee Dev &amp; Engage'!M34</f>
        <v>No survey carried out this year</v>
      </c>
      <c r="N74" s="330">
        <v>0.55000000000000004</v>
      </c>
      <c r="O74" s="330">
        <v>0.64</v>
      </c>
      <c r="P74" s="254">
        <f t="shared" si="4"/>
        <v>0.16363636363636358</v>
      </c>
      <c r="Q74" s="316"/>
    </row>
    <row r="75" spans="1:17" ht="39.6">
      <c r="A75" s="3449"/>
      <c r="B75" s="3451"/>
      <c r="C75" s="335" t="s">
        <v>116</v>
      </c>
      <c r="D75" s="337">
        <v>2021</v>
      </c>
      <c r="E75" s="338" t="s">
        <v>22</v>
      </c>
      <c r="F75" s="339" t="s">
        <v>23</v>
      </c>
      <c r="G75" s="339" t="s">
        <v>23</v>
      </c>
      <c r="H75" s="340" t="s">
        <v>24</v>
      </c>
      <c r="I75" s="340" t="s">
        <v>24</v>
      </c>
      <c r="J75" s="340" t="s">
        <v>24</v>
      </c>
      <c r="K75" s="340" t="s">
        <v>24</v>
      </c>
      <c r="L75" s="340" t="s">
        <v>24</v>
      </c>
      <c r="M75" s="310" t="s">
        <v>27</v>
      </c>
      <c r="N75" s="310" t="s">
        <v>76</v>
      </c>
      <c r="O75" s="310"/>
      <c r="P75" s="254"/>
      <c r="Q75" s="324"/>
    </row>
    <row r="76" spans="1:17" ht="59.45">
      <c r="A76" s="3449"/>
      <c r="B76" s="3451"/>
      <c r="C76" s="335" t="s">
        <v>117</v>
      </c>
      <c r="D76" s="337">
        <v>2021</v>
      </c>
      <c r="E76" s="338" t="s">
        <v>22</v>
      </c>
      <c r="F76" s="339" t="s">
        <v>23</v>
      </c>
      <c r="G76" s="339" t="s">
        <v>23</v>
      </c>
      <c r="H76" s="340" t="s">
        <v>24</v>
      </c>
      <c r="I76" s="340" t="s">
        <v>24</v>
      </c>
      <c r="J76" s="340" t="s">
        <v>24</v>
      </c>
      <c r="K76" s="340" t="s">
        <v>24</v>
      </c>
      <c r="L76" s="340" t="s">
        <v>24</v>
      </c>
      <c r="M76" s="310" t="s">
        <v>27</v>
      </c>
      <c r="N76" s="310" t="s">
        <v>76</v>
      </c>
      <c r="O76" s="310"/>
      <c r="P76" s="254"/>
      <c r="Q76" s="324"/>
    </row>
    <row r="77" spans="1:17" ht="59.45">
      <c r="A77" s="3449"/>
      <c r="B77" s="3451"/>
      <c r="C77" s="335" t="s">
        <v>118</v>
      </c>
      <c r="D77" s="337">
        <v>2022</v>
      </c>
      <c r="E77" s="338" t="s">
        <v>22</v>
      </c>
      <c r="F77" s="339" t="s">
        <v>23</v>
      </c>
      <c r="G77" s="339" t="s">
        <v>23</v>
      </c>
      <c r="H77" s="340" t="s">
        <v>24</v>
      </c>
      <c r="I77" s="340" t="s">
        <v>24</v>
      </c>
      <c r="J77" s="340" t="s">
        <v>24</v>
      </c>
      <c r="K77" s="340" t="s">
        <v>24</v>
      </c>
      <c r="L77" s="340" t="s">
        <v>24</v>
      </c>
      <c r="M77" s="310" t="s">
        <v>27</v>
      </c>
      <c r="N77" s="310" t="s">
        <v>27</v>
      </c>
      <c r="O77" s="310"/>
      <c r="P77" s="254"/>
      <c r="Q77" s="324"/>
    </row>
    <row r="78" spans="1:17" ht="39.6">
      <c r="A78" s="3449"/>
      <c r="B78" s="3451"/>
      <c r="C78" s="335" t="s">
        <v>119</v>
      </c>
      <c r="D78" s="337">
        <v>2022</v>
      </c>
      <c r="E78" s="338" t="s">
        <v>22</v>
      </c>
      <c r="F78" s="339" t="s">
        <v>23</v>
      </c>
      <c r="G78" s="339" t="s">
        <v>23</v>
      </c>
      <c r="H78" s="340" t="s">
        <v>24</v>
      </c>
      <c r="I78" s="340" t="s">
        <v>24</v>
      </c>
      <c r="J78" s="340" t="s">
        <v>24</v>
      </c>
      <c r="K78" s="340" t="s">
        <v>24</v>
      </c>
      <c r="L78" s="340" t="s">
        <v>24</v>
      </c>
      <c r="M78" s="310" t="s">
        <v>27</v>
      </c>
      <c r="N78" s="310" t="s">
        <v>27</v>
      </c>
      <c r="O78" s="310"/>
      <c r="P78" s="254"/>
      <c r="Q78" s="324"/>
    </row>
    <row r="79" spans="1:17" ht="60" thickBot="1">
      <c r="A79" s="3449"/>
      <c r="B79" s="3451"/>
      <c r="C79" s="335" t="s">
        <v>120</v>
      </c>
      <c r="D79" s="337">
        <v>2023</v>
      </c>
      <c r="E79" s="338" t="s">
        <v>22</v>
      </c>
      <c r="F79" s="339" t="s">
        <v>23</v>
      </c>
      <c r="G79" s="339" t="s">
        <v>23</v>
      </c>
      <c r="H79" s="340" t="s">
        <v>24</v>
      </c>
      <c r="I79" s="340" t="s">
        <v>24</v>
      </c>
      <c r="J79" s="340" t="s">
        <v>24</v>
      </c>
      <c r="K79" s="340" t="s">
        <v>24</v>
      </c>
      <c r="L79" s="340" t="s">
        <v>24</v>
      </c>
      <c r="M79" s="310" t="s">
        <v>27</v>
      </c>
      <c r="N79" s="310" t="s">
        <v>27</v>
      </c>
      <c r="O79" s="310"/>
      <c r="P79" s="254"/>
      <c r="Q79" s="324"/>
    </row>
    <row r="80" spans="1:17" ht="59.45">
      <c r="A80" s="3468" t="s">
        <v>121</v>
      </c>
      <c r="B80" s="3471" t="s">
        <v>20</v>
      </c>
      <c r="C80" s="378" t="s">
        <v>122</v>
      </c>
      <c r="D80" s="379">
        <v>2020</v>
      </c>
      <c r="E80" s="380" t="s">
        <v>123</v>
      </c>
      <c r="F80" s="381" t="s">
        <v>29</v>
      </c>
      <c r="G80" s="382" t="s">
        <v>29</v>
      </c>
      <c r="H80" s="379" t="s">
        <v>24</v>
      </c>
      <c r="I80" s="379" t="s">
        <v>24</v>
      </c>
      <c r="J80" s="379" t="s">
        <v>24</v>
      </c>
      <c r="K80" s="379" t="s">
        <v>24</v>
      </c>
      <c r="L80" s="379" t="s">
        <v>24</v>
      </c>
      <c r="M80" s="383">
        <v>7.9000000000000001E-2</v>
      </c>
      <c r="N80" s="383">
        <v>0.20699999999999999</v>
      </c>
      <c r="O80" s="383">
        <v>0.25</v>
      </c>
      <c r="P80" s="254">
        <f t="shared" si="4"/>
        <v>0.20772946859903388</v>
      </c>
      <c r="Q80" s="316"/>
    </row>
    <row r="81" spans="1:17" ht="39.6">
      <c r="A81" s="3469"/>
      <c r="B81" s="3472"/>
      <c r="C81" s="384" t="s">
        <v>124</v>
      </c>
      <c r="D81" s="385">
        <v>2020</v>
      </c>
      <c r="E81" s="386" t="s">
        <v>125</v>
      </c>
      <c r="F81" s="382" t="s">
        <v>29</v>
      </c>
      <c r="G81" s="382" t="s">
        <v>29</v>
      </c>
      <c r="H81" s="387">
        <f>'[1]Employee Volunteering '!E30</f>
        <v>0.159</v>
      </c>
      <c r="I81" s="388">
        <f>'[1]Employee Volunteering '!F30</f>
        <v>0.152</v>
      </c>
      <c r="J81" s="388">
        <f>'[1]Employee Volunteering '!G30</f>
        <v>0.17216321967579654</v>
      </c>
      <c r="K81" s="388">
        <f>'[1]Employee Volunteering '!H30</f>
        <v>0.17278757482607993</v>
      </c>
      <c r="L81" s="388" t="e">
        <f>'[1]Employee Volunteering '!I30</f>
        <v>#REF!</v>
      </c>
      <c r="M81" s="389">
        <f>'[1]Employee Volunteering '!J30</f>
        <v>3.7706317586795678E-2</v>
      </c>
      <c r="N81" s="389">
        <v>4.2000000000000003E-2</v>
      </c>
      <c r="O81" s="389">
        <v>0.08</v>
      </c>
      <c r="P81" s="254">
        <f t="shared" si="4"/>
        <v>0.90476190476190466</v>
      </c>
      <c r="Q81" s="316"/>
    </row>
    <row r="82" spans="1:17" ht="59.45">
      <c r="A82" s="3469"/>
      <c r="B82" s="3472"/>
      <c r="C82" s="391" t="s">
        <v>126</v>
      </c>
      <c r="D82" s="385">
        <v>2020</v>
      </c>
      <c r="E82" s="392" t="s">
        <v>127</v>
      </c>
      <c r="F82" s="382" t="s">
        <v>29</v>
      </c>
      <c r="G82" s="382" t="s">
        <v>29</v>
      </c>
      <c r="H82" s="393">
        <f>[1]Volunteering!E16</f>
        <v>10426.5</v>
      </c>
      <c r="I82" s="393">
        <f>[1]Volunteering!F16</f>
        <v>11786.5</v>
      </c>
      <c r="J82" s="393">
        <f>'[1]Employee Volunteering '!G28</f>
        <v>12389.95</v>
      </c>
      <c r="K82" s="393">
        <f>'[1]Employee Volunteering '!H28</f>
        <v>17464</v>
      </c>
      <c r="L82" s="393">
        <f>'[1]Employee Volunteering '!I28</f>
        <v>19978</v>
      </c>
      <c r="M82" s="394">
        <f>'[1]Employee Volunteering '!J28</f>
        <v>23674</v>
      </c>
      <c r="N82" s="394">
        <v>5495</v>
      </c>
      <c r="O82" s="394">
        <v>4414</v>
      </c>
      <c r="P82" s="254">
        <f t="shared" si="4"/>
        <v>-0.19672429481346679</v>
      </c>
      <c r="Q82" s="390"/>
    </row>
    <row r="83" spans="1:17" ht="29.45">
      <c r="A83" s="3469"/>
      <c r="B83" s="3472"/>
      <c r="C83" s="3474" t="s">
        <v>128</v>
      </c>
      <c r="D83" s="3476">
        <v>2025</v>
      </c>
      <c r="E83" s="386" t="s">
        <v>129</v>
      </c>
      <c r="F83" s="397" t="s">
        <v>29</v>
      </c>
      <c r="G83" s="397" t="s">
        <v>29</v>
      </c>
      <c r="H83" s="398" t="s">
        <v>24</v>
      </c>
      <c r="I83" s="398" t="s">
        <v>24</v>
      </c>
      <c r="J83" s="398" t="s">
        <v>24</v>
      </c>
      <c r="K83" s="399">
        <f>'[1]Community and Charity Donations'!I18</f>
        <v>405339</v>
      </c>
      <c r="L83" s="400">
        <f>'[1]Community and Charity Donations'!J18</f>
        <v>207346.15</v>
      </c>
      <c r="M83" s="401">
        <f>'[1]Community and Charity Donations'!K18</f>
        <v>253760.89</v>
      </c>
      <c r="N83" s="401">
        <v>245828</v>
      </c>
      <c r="O83" s="401">
        <v>985272</v>
      </c>
      <c r="P83" s="254">
        <f t="shared" si="4"/>
        <v>3.0079730543306704</v>
      </c>
      <c r="Q83" s="316"/>
    </row>
    <row r="84" spans="1:17" ht="29.45">
      <c r="A84" s="3469"/>
      <c r="B84" s="3472"/>
      <c r="C84" s="3475"/>
      <c r="D84" s="3477"/>
      <c r="E84" s="392" t="s">
        <v>130</v>
      </c>
      <c r="F84" s="397" t="s">
        <v>29</v>
      </c>
      <c r="G84" s="397" t="s">
        <v>29</v>
      </c>
      <c r="H84" s="394">
        <f>'[1]Community and Charity Donations'!F20</f>
        <v>249</v>
      </c>
      <c r="I84" s="394">
        <f>'[1]Community and Charity Donations'!G20</f>
        <v>254</v>
      </c>
      <c r="J84" s="394">
        <f>'[1]Community and Charity Donations'!H20</f>
        <v>223</v>
      </c>
      <c r="K84" s="394">
        <f>'[1]Community and Charity Donations'!I20</f>
        <v>344</v>
      </c>
      <c r="L84" s="402">
        <f>'[1]Community and Charity Donations'!J20</f>
        <v>212</v>
      </c>
      <c r="M84" s="403">
        <f>'[1]Community and Charity Donations'!K20</f>
        <v>151</v>
      </c>
      <c r="N84" s="403">
        <v>149</v>
      </c>
      <c r="O84" s="403">
        <v>242</v>
      </c>
      <c r="P84" s="254">
        <f t="shared" si="4"/>
        <v>0.62416107382550334</v>
      </c>
      <c r="Q84" s="316"/>
    </row>
    <row r="85" spans="1:17" ht="59.45">
      <c r="A85" s="3469"/>
      <c r="B85" s="3472"/>
      <c r="C85" s="391" t="s">
        <v>131</v>
      </c>
      <c r="D85" s="385">
        <v>2020</v>
      </c>
      <c r="E85" s="404" t="s">
        <v>22</v>
      </c>
      <c r="F85" s="382" t="s">
        <v>23</v>
      </c>
      <c r="G85" s="382" t="s">
        <v>23</v>
      </c>
      <c r="H85" s="393" t="s">
        <v>24</v>
      </c>
      <c r="I85" s="393" t="s">
        <v>24</v>
      </c>
      <c r="J85" s="393" t="s">
        <v>24</v>
      </c>
      <c r="K85" s="393" t="s">
        <v>24</v>
      </c>
      <c r="L85" s="393" t="s">
        <v>24</v>
      </c>
      <c r="M85" s="405" t="s">
        <v>25</v>
      </c>
      <c r="N85" s="405" t="s">
        <v>25</v>
      </c>
      <c r="O85" s="405" t="s">
        <v>25</v>
      </c>
      <c r="P85" s="254" t="s">
        <v>132</v>
      </c>
      <c r="Q85" s="407"/>
    </row>
    <row r="86" spans="1:17" ht="79.150000000000006">
      <c r="A86" s="3469"/>
      <c r="B86" s="3472"/>
      <c r="C86" s="391" t="s">
        <v>133</v>
      </c>
      <c r="D86" s="385">
        <v>2020</v>
      </c>
      <c r="E86" s="404" t="s">
        <v>22</v>
      </c>
      <c r="F86" s="382" t="s">
        <v>23</v>
      </c>
      <c r="G86" s="382" t="s">
        <v>23</v>
      </c>
      <c r="H86" s="393" t="s">
        <v>24</v>
      </c>
      <c r="I86" s="393" t="s">
        <v>24</v>
      </c>
      <c r="J86" s="393" t="s">
        <v>24</v>
      </c>
      <c r="K86" s="393" t="s">
        <v>24</v>
      </c>
      <c r="L86" s="393" t="s">
        <v>24</v>
      </c>
      <c r="M86" s="405" t="s">
        <v>25</v>
      </c>
      <c r="N86" s="405" t="s">
        <v>25</v>
      </c>
      <c r="O86" s="405" t="s">
        <v>25</v>
      </c>
      <c r="P86" s="254" t="s">
        <v>132</v>
      </c>
      <c r="Q86" s="407"/>
    </row>
    <row r="87" spans="1:17" ht="59.45">
      <c r="A87" s="3469"/>
      <c r="B87" s="3472"/>
      <c r="C87" s="391" t="s">
        <v>134</v>
      </c>
      <c r="D87" s="385">
        <v>2021</v>
      </c>
      <c r="E87" s="404" t="s">
        <v>22</v>
      </c>
      <c r="F87" s="382" t="s">
        <v>23</v>
      </c>
      <c r="G87" s="382" t="s">
        <v>23</v>
      </c>
      <c r="H87" s="393" t="s">
        <v>24</v>
      </c>
      <c r="I87" s="393" t="s">
        <v>24</v>
      </c>
      <c r="J87" s="393" t="s">
        <v>24</v>
      </c>
      <c r="K87" s="393" t="s">
        <v>24</v>
      </c>
      <c r="L87" s="393" t="s">
        <v>24</v>
      </c>
      <c r="M87" s="405" t="s">
        <v>56</v>
      </c>
      <c r="N87" s="405" t="s">
        <v>56</v>
      </c>
      <c r="O87" s="405" t="s">
        <v>56</v>
      </c>
      <c r="P87" s="254" t="s">
        <v>132</v>
      </c>
      <c r="Q87" s="407"/>
    </row>
    <row r="88" spans="1:17" ht="39.6">
      <c r="A88" s="3469"/>
      <c r="B88" s="3472"/>
      <c r="C88" s="391" t="s">
        <v>135</v>
      </c>
      <c r="D88" s="385">
        <v>2021</v>
      </c>
      <c r="E88" s="404" t="s">
        <v>22</v>
      </c>
      <c r="F88" s="382" t="s">
        <v>23</v>
      </c>
      <c r="G88" s="382" t="s">
        <v>23</v>
      </c>
      <c r="H88" s="393" t="s">
        <v>24</v>
      </c>
      <c r="I88" s="393" t="s">
        <v>24</v>
      </c>
      <c r="J88" s="393" t="s">
        <v>24</v>
      </c>
      <c r="K88" s="393" t="s">
        <v>24</v>
      </c>
      <c r="L88" s="393" t="s">
        <v>24</v>
      </c>
      <c r="M88" s="405" t="s">
        <v>27</v>
      </c>
      <c r="N88" s="405" t="s">
        <v>76</v>
      </c>
      <c r="O88" s="405"/>
      <c r="P88" s="254"/>
      <c r="Q88" s="408"/>
    </row>
    <row r="89" spans="1:17" ht="39.6">
      <c r="A89" s="3469"/>
      <c r="B89" s="3472"/>
      <c r="C89" s="391" t="s">
        <v>136</v>
      </c>
      <c r="D89" s="385">
        <v>2022</v>
      </c>
      <c r="E89" s="404" t="s">
        <v>22</v>
      </c>
      <c r="F89" s="382" t="s">
        <v>23</v>
      </c>
      <c r="G89" s="382" t="s">
        <v>23</v>
      </c>
      <c r="H89" s="393" t="s">
        <v>24</v>
      </c>
      <c r="I89" s="393" t="s">
        <v>24</v>
      </c>
      <c r="J89" s="393" t="s">
        <v>24</v>
      </c>
      <c r="K89" s="393" t="s">
        <v>24</v>
      </c>
      <c r="L89" s="393" t="s">
        <v>24</v>
      </c>
      <c r="M89" s="405" t="s">
        <v>27</v>
      </c>
      <c r="N89" s="405" t="s">
        <v>27</v>
      </c>
      <c r="O89" s="405" t="s">
        <v>76</v>
      </c>
      <c r="P89" s="254"/>
      <c r="Q89" s="408"/>
    </row>
    <row r="90" spans="1:17" ht="29.45">
      <c r="A90" s="3469"/>
      <c r="B90" s="3472"/>
      <c r="C90" s="3478" t="s">
        <v>137</v>
      </c>
      <c r="D90" s="396">
        <v>2025</v>
      </c>
      <c r="E90" s="409" t="s">
        <v>22</v>
      </c>
      <c r="F90" s="397" t="s">
        <v>23</v>
      </c>
      <c r="G90" s="397" t="s">
        <v>23</v>
      </c>
      <c r="H90" s="398" t="s">
        <v>24</v>
      </c>
      <c r="I90" s="398" t="s">
        <v>24</v>
      </c>
      <c r="J90" s="398" t="s">
        <v>24</v>
      </c>
      <c r="K90" s="398" t="s">
        <v>24</v>
      </c>
      <c r="L90" s="398" t="s">
        <v>24</v>
      </c>
      <c r="M90" s="410" t="s">
        <v>27</v>
      </c>
      <c r="N90" s="410" t="s">
        <v>27</v>
      </c>
      <c r="O90" s="410" t="s">
        <v>27</v>
      </c>
      <c r="P90" s="254"/>
      <c r="Q90" s="408"/>
    </row>
    <row r="91" spans="1:17" ht="29.45">
      <c r="A91" s="3469"/>
      <c r="B91" s="3472"/>
      <c r="C91" s="3478"/>
      <c r="D91" s="396" t="s">
        <v>24</v>
      </c>
      <c r="E91" s="411" t="s">
        <v>138</v>
      </c>
      <c r="F91" s="397" t="s">
        <v>29</v>
      </c>
      <c r="G91" s="397" t="s">
        <v>29</v>
      </c>
      <c r="H91" s="412">
        <f>'[1]Community outreach&amp;neightbour'!C9</f>
        <v>85</v>
      </c>
      <c r="I91" s="412">
        <f>'[1]Community outreach&amp;neightbour'!D9</f>
        <v>86</v>
      </c>
      <c r="J91" s="412">
        <f>'[1]Community outreach&amp;neightbour'!E9</f>
        <v>99</v>
      </c>
      <c r="K91" s="412">
        <f>'[1]Community outreach&amp;neightbour'!F9</f>
        <v>83</v>
      </c>
      <c r="L91" s="412">
        <f>'[1]Community outreach&amp;neightbour'!G9</f>
        <v>90</v>
      </c>
      <c r="M91" s="413">
        <f>'[1]Community outreach&amp;neightbour'!H9</f>
        <v>36</v>
      </c>
      <c r="N91" s="413">
        <v>148</v>
      </c>
      <c r="O91" s="413">
        <v>272</v>
      </c>
      <c r="P91" s="254">
        <f>(O91-N91)/N91</f>
        <v>0.83783783783783783</v>
      </c>
      <c r="Q91" s="407"/>
    </row>
    <row r="92" spans="1:17" ht="29.45">
      <c r="A92" s="3469"/>
      <c r="B92" s="3472"/>
      <c r="C92" s="3479" t="s">
        <v>139</v>
      </c>
      <c r="D92" s="396">
        <v>2025</v>
      </c>
      <c r="E92" s="409" t="s">
        <v>22</v>
      </c>
      <c r="F92" s="397" t="s">
        <v>23</v>
      </c>
      <c r="G92" s="397" t="s">
        <v>23</v>
      </c>
      <c r="H92" s="398" t="s">
        <v>24</v>
      </c>
      <c r="I92" s="398" t="s">
        <v>24</v>
      </c>
      <c r="J92" s="398" t="s">
        <v>24</v>
      </c>
      <c r="K92" s="398" t="s">
        <v>24</v>
      </c>
      <c r="L92" s="398" t="s">
        <v>24</v>
      </c>
      <c r="M92" s="415" t="s">
        <v>27</v>
      </c>
      <c r="N92" s="415" t="s">
        <v>27</v>
      </c>
      <c r="O92" s="415" t="s">
        <v>27</v>
      </c>
      <c r="P92" s="254"/>
      <c r="Q92" s="408"/>
    </row>
    <row r="93" spans="1:17" ht="29.45">
      <c r="A93" s="3469"/>
      <c r="B93" s="3472"/>
      <c r="C93" s="3480"/>
      <c r="D93" s="396" t="s">
        <v>24</v>
      </c>
      <c r="E93" s="416" t="s">
        <v>140</v>
      </c>
      <c r="F93" s="397" t="s">
        <v>23</v>
      </c>
      <c r="G93" s="397" t="s">
        <v>29</v>
      </c>
      <c r="H93" s="389">
        <f>'[1]Noise Procedures'!H40</f>
        <v>0.97342280795816827</v>
      </c>
      <c r="I93" s="389">
        <f>'[1]Noise Procedures'!I40</f>
        <v>0.97208898076155126</v>
      </c>
      <c r="J93" s="389">
        <f>'[1]Noise Procedures'!J40</f>
        <v>0.96843358068326291</v>
      </c>
      <c r="K93" s="389">
        <f>'[1]Noise Procedures'!K40</f>
        <v>0.96051231030572659</v>
      </c>
      <c r="L93" s="389">
        <f>'[1]Noise Procedures'!L40</f>
        <v>0.95785243339545356</v>
      </c>
      <c r="M93" s="389">
        <f>'[1]Noise Procedures'!M40</f>
        <v>0.93758372914383148</v>
      </c>
      <c r="N93" s="389">
        <v>0.94399999999999995</v>
      </c>
      <c r="O93" s="389">
        <v>0.94899999999999995</v>
      </c>
      <c r="P93" s="254">
        <f t="shared" ref="P93:P98" si="5">(O93-N93)/N93</f>
        <v>5.2966101694915304E-3</v>
      </c>
      <c r="Q93" s="407"/>
    </row>
    <row r="94" spans="1:17" ht="29.45">
      <c r="A94" s="3469"/>
      <c r="B94" s="3472"/>
      <c r="C94" s="3480"/>
      <c r="D94" s="396"/>
      <c r="E94" s="386" t="s">
        <v>141</v>
      </c>
      <c r="F94" s="397" t="s">
        <v>23</v>
      </c>
      <c r="G94" s="397" t="s">
        <v>29</v>
      </c>
      <c r="H94" s="417" t="str">
        <f>'[1]Noise Procedures'!H43</f>
        <v>n/a</v>
      </c>
      <c r="I94" s="417" t="str">
        <f>'[1]Noise Procedures'!I43</f>
        <v>n/a</v>
      </c>
      <c r="J94" s="417" t="str">
        <f>'[1]Noise Procedures'!J43</f>
        <v>n/a</v>
      </c>
      <c r="K94" s="417">
        <f>'[1]Noise Procedures'!K43</f>
        <v>0.85037190649208194</v>
      </c>
      <c r="L94" s="417">
        <f>'[1]Noise Procedures'!L43</f>
        <v>0.86181601019689635</v>
      </c>
      <c r="M94" s="417">
        <f>'[1]Noise Procedures'!M43</f>
        <v>0.87687371005890413</v>
      </c>
      <c r="N94" s="417">
        <v>0.90500000000000003</v>
      </c>
      <c r="O94" s="417">
        <v>0.92100000000000004</v>
      </c>
      <c r="P94" s="254">
        <f t="shared" si="5"/>
        <v>1.7679558011049739E-2</v>
      </c>
      <c r="Q94" s="407"/>
    </row>
    <row r="95" spans="1:17" ht="29.45">
      <c r="A95" s="3469"/>
      <c r="B95" s="3472"/>
      <c r="C95" s="3480"/>
      <c r="D95" s="396" t="s">
        <v>24</v>
      </c>
      <c r="E95" s="386" t="s">
        <v>142</v>
      </c>
      <c r="F95" s="397" t="s">
        <v>23</v>
      </c>
      <c r="G95" s="397" t="s">
        <v>29</v>
      </c>
      <c r="H95" s="417">
        <f>'[1]Noise Procedures'!H46</f>
        <v>0.92167024941841635</v>
      </c>
      <c r="I95" s="417">
        <f>'[1]Noise Procedures'!I46</f>
        <v>0.91387286538351709</v>
      </c>
      <c r="J95" s="417">
        <f>'[1]Noise Procedures'!J46</f>
        <v>0.92814613155352599</v>
      </c>
      <c r="K95" s="417">
        <f>'[1]Noise Procedures'!K46</f>
        <v>0.92959761341928282</v>
      </c>
      <c r="L95" s="417">
        <f>'[1]Noise Procedures'!L46</f>
        <v>0.93072926380858501</v>
      </c>
      <c r="M95" s="417">
        <f>'[1]Noise Procedures'!M46</f>
        <v>0.88958195333774936</v>
      </c>
      <c r="N95" s="417">
        <v>0.90500000000000003</v>
      </c>
      <c r="O95" s="417">
        <v>0.92300000000000004</v>
      </c>
      <c r="P95" s="254">
        <f t="shared" si="5"/>
        <v>1.9889502762430955E-2</v>
      </c>
      <c r="Q95" s="407"/>
    </row>
    <row r="96" spans="1:17" ht="29.45">
      <c r="A96" s="3469"/>
      <c r="B96" s="3472"/>
      <c r="C96" s="3480"/>
      <c r="D96" s="396" t="s">
        <v>24</v>
      </c>
      <c r="E96" s="386" t="s">
        <v>143</v>
      </c>
      <c r="F96" s="397" t="s">
        <v>23</v>
      </c>
      <c r="G96" s="397" t="s">
        <v>29</v>
      </c>
      <c r="H96" s="418">
        <f>'[1]Noise Footprint '!$I$128</f>
        <v>61.9</v>
      </c>
      <c r="I96" s="418">
        <f>'[1]Noise Footprint '!$I$129</f>
        <v>64.7</v>
      </c>
      <c r="J96" s="418">
        <f>'[1]Noise Footprint '!$I$130</f>
        <v>69.5</v>
      </c>
      <c r="K96" s="418">
        <f>'[1]Noise Footprint '!$I$131</f>
        <v>68.2</v>
      </c>
      <c r="L96" s="418">
        <f>'[1]Noise Footprint '!$I$132</f>
        <v>69.7</v>
      </c>
      <c r="M96" s="418">
        <v>24.9</v>
      </c>
      <c r="N96" s="418">
        <v>35.299999999999997</v>
      </c>
      <c r="O96" s="418">
        <v>53.4</v>
      </c>
      <c r="P96" s="254">
        <f t="shared" si="5"/>
        <v>0.51274787535410771</v>
      </c>
      <c r="Q96" s="419"/>
    </row>
    <row r="97" spans="1:17" ht="29.45">
      <c r="A97" s="3469"/>
      <c r="B97" s="3472"/>
      <c r="C97" s="3480"/>
      <c r="D97" s="396"/>
      <c r="E97" s="386" t="s">
        <v>144</v>
      </c>
      <c r="F97" s="397" t="s">
        <v>23</v>
      </c>
      <c r="G97" s="397" t="s">
        <v>29</v>
      </c>
      <c r="H97" s="420">
        <f>'[1]Noise Footprint '!$J$128</f>
        <v>34350</v>
      </c>
      <c r="I97" s="420">
        <f>'[1]Noise Footprint '!$J$129</f>
        <v>37150</v>
      </c>
      <c r="J97" s="420">
        <f>'[1]Noise Footprint '!$J$130</f>
        <v>41100</v>
      </c>
      <c r="K97" s="420">
        <f>'[1]Noise Footprint '!$J$131</f>
        <v>38300</v>
      </c>
      <c r="L97" s="420">
        <f>'[1]Noise Footprint '!$J$132</f>
        <v>38200</v>
      </c>
      <c r="M97" s="420">
        <v>4600</v>
      </c>
      <c r="N97" s="420">
        <v>10900</v>
      </c>
      <c r="O97" s="420">
        <v>28100</v>
      </c>
      <c r="P97" s="254">
        <f t="shared" si="5"/>
        <v>1.5779816513761469</v>
      </c>
      <c r="Q97" s="419"/>
    </row>
    <row r="98" spans="1:17" ht="29.45">
      <c r="A98" s="3469"/>
      <c r="B98" s="3472"/>
      <c r="C98" s="3480"/>
      <c r="D98" s="396"/>
      <c r="E98" s="386" t="s">
        <v>145</v>
      </c>
      <c r="F98" s="397" t="s">
        <v>23</v>
      </c>
      <c r="G98" s="397" t="s">
        <v>29</v>
      </c>
      <c r="H98" s="418">
        <f>'[1]Noise Footprint '!$I$145</f>
        <v>28.1</v>
      </c>
      <c r="I98" s="418">
        <f>'[1]Noise Footprint '!$I$146</f>
        <v>29.3</v>
      </c>
      <c r="J98" s="418">
        <f>'[1]Noise Footprint '!$I$147</f>
        <v>30</v>
      </c>
      <c r="K98" s="418">
        <f>'[1]Noise Footprint '!$I$148</f>
        <v>30.5</v>
      </c>
      <c r="L98" s="418">
        <f>'[1]Noise Footprint '!$I$149</f>
        <v>32.700000000000003</v>
      </c>
      <c r="M98" s="418">
        <v>16.5</v>
      </c>
      <c r="N98" s="418">
        <v>22.7</v>
      </c>
      <c r="O98" s="418">
        <v>31</v>
      </c>
      <c r="P98" s="254">
        <f t="shared" si="5"/>
        <v>0.36563876651982385</v>
      </c>
      <c r="Q98" s="419"/>
    </row>
    <row r="99" spans="1:17" ht="29.45">
      <c r="A99" s="3469"/>
      <c r="B99" s="3472"/>
      <c r="C99" s="3480"/>
      <c r="D99" s="396" t="s">
        <v>24</v>
      </c>
      <c r="E99" s="386" t="s">
        <v>146</v>
      </c>
      <c r="F99" s="397" t="s">
        <v>23</v>
      </c>
      <c r="G99" s="397" t="s">
        <v>29</v>
      </c>
      <c r="H99" s="421">
        <f>'[1]Noise Footprint '!$J$145</f>
        <v>7450</v>
      </c>
      <c r="I99" s="421">
        <f>'[1]Noise Footprint '!$J$146</f>
        <v>10350</v>
      </c>
      <c r="J99" s="421">
        <f>'[1]Noise Footprint '!$J$147</f>
        <v>8800</v>
      </c>
      <c r="K99" s="421">
        <f>'[1]Noise Footprint '!$J$148</f>
        <v>9850</v>
      </c>
      <c r="L99" s="421">
        <f>'[1]Noise Footprint '!$J$149</f>
        <v>11950</v>
      </c>
      <c r="M99" s="421">
        <v>1350</v>
      </c>
      <c r="N99" s="421">
        <v>4200</v>
      </c>
      <c r="O99" s="421">
        <v>11000</v>
      </c>
      <c r="P99" s="254">
        <f>(O99-N99)/N99</f>
        <v>1.6190476190476191</v>
      </c>
      <c r="Q99" s="419"/>
    </row>
    <row r="100" spans="1:17" ht="29.45">
      <c r="A100" s="3469"/>
      <c r="B100" s="3472"/>
      <c r="C100" s="3478" t="s">
        <v>147</v>
      </c>
      <c r="D100" s="3476">
        <v>2024</v>
      </c>
      <c r="E100" s="409" t="s">
        <v>22</v>
      </c>
      <c r="F100" s="397" t="s">
        <v>23</v>
      </c>
      <c r="G100" s="397" t="s">
        <v>23</v>
      </c>
      <c r="H100" s="398" t="s">
        <v>24</v>
      </c>
      <c r="I100" s="398" t="s">
        <v>24</v>
      </c>
      <c r="J100" s="398" t="s">
        <v>24</v>
      </c>
      <c r="K100" s="398" t="s">
        <v>24</v>
      </c>
      <c r="L100" s="398" t="s">
        <v>24</v>
      </c>
      <c r="M100" s="405" t="s">
        <v>27</v>
      </c>
      <c r="N100" s="405" t="s">
        <v>27</v>
      </c>
      <c r="O100" s="405" t="s">
        <v>27</v>
      </c>
      <c r="P100" s="254"/>
      <c r="Q100" s="408"/>
    </row>
    <row r="101" spans="1:17" ht="29.45">
      <c r="A101" s="3469"/>
      <c r="B101" s="3472"/>
      <c r="C101" s="3478"/>
      <c r="D101" s="3476"/>
      <c r="E101" s="422" t="s">
        <v>148</v>
      </c>
      <c r="F101" s="397" t="s">
        <v>29</v>
      </c>
      <c r="G101" s="397" t="s">
        <v>29</v>
      </c>
      <c r="H101" s="394">
        <f>'[1]Noise Complaints'!H25</f>
        <v>1912</v>
      </c>
      <c r="I101" s="394">
        <f>'[1]Noise Complaints'!I25</f>
        <v>7654</v>
      </c>
      <c r="J101" s="394">
        <f>'[1]Noise Complaints'!J25</f>
        <v>10178</v>
      </c>
      <c r="K101" s="394">
        <f>'[1]Noise Complaints'!K25</f>
        <v>14684</v>
      </c>
      <c r="L101" s="394">
        <f>'[1]Noise Complaints'!N25</f>
        <v>15253</v>
      </c>
      <c r="M101" s="423">
        <f>'[1]Noise Complaints'!Q25</f>
        <v>6842</v>
      </c>
      <c r="N101" s="423">
        <v>15878</v>
      </c>
      <c r="O101" s="423">
        <v>15438</v>
      </c>
      <c r="P101" s="254">
        <f>(O101-N101)/N101</f>
        <v>-2.7711298652223201E-2</v>
      </c>
      <c r="Q101" s="427"/>
    </row>
    <row r="102" spans="1:17" ht="29.45">
      <c r="A102" s="3469"/>
      <c r="B102" s="3472"/>
      <c r="C102" s="3478"/>
      <c r="D102" s="3476"/>
      <c r="E102" s="424" t="s">
        <v>149</v>
      </c>
      <c r="F102" s="397" t="s">
        <v>23</v>
      </c>
      <c r="G102" s="397" t="s">
        <v>23</v>
      </c>
      <c r="H102" s="425">
        <f>'[1]Noise Complaints'!H30</f>
        <v>4.4886738457276607</v>
      </c>
      <c r="I102" s="425">
        <f>'[1]Noise Complaints'!I30</f>
        <v>16.92471663150819</v>
      </c>
      <c r="J102" s="425">
        <f>'[1]Noise Complaints'!J30</f>
        <v>21.632443990078574</v>
      </c>
      <c r="K102" s="425">
        <f>'[1]Noise Complaints'!K30</f>
        <v>30.449252973073854</v>
      </c>
      <c r="L102" s="426">
        <f>'[1]Noise Complaints'!N30</f>
        <v>32.878442665884926</v>
      </c>
      <c r="M102" s="426">
        <f>'[1]Noise Complaints'!Q30</f>
        <v>49.134297060703332</v>
      </c>
      <c r="N102" s="426"/>
      <c r="O102" s="426"/>
      <c r="P102" s="254" t="e">
        <f t="shared" ref="P102" si="6">(O102-N102)/O102</f>
        <v>#DIV/0!</v>
      </c>
      <c r="Q102" s="419"/>
    </row>
    <row r="103" spans="1:17" ht="29.45">
      <c r="A103" s="3469"/>
      <c r="B103" s="3472"/>
      <c r="C103" s="3481"/>
      <c r="D103" s="3477"/>
      <c r="E103" s="422" t="s">
        <v>150</v>
      </c>
      <c r="F103" s="397" t="s">
        <v>29</v>
      </c>
      <c r="G103" s="397" t="s">
        <v>29</v>
      </c>
      <c r="H103" s="398" t="s">
        <v>24</v>
      </c>
      <c r="I103" s="398" t="s">
        <v>24</v>
      </c>
      <c r="J103" s="398" t="s">
        <v>24</v>
      </c>
      <c r="K103" s="398">
        <f>'[1]Noise Complaints'!K27</f>
        <v>717</v>
      </c>
      <c r="L103" s="398">
        <f>'[1]Noise Complaints'!N27</f>
        <v>823</v>
      </c>
      <c r="M103" s="423">
        <f>'[1]Noise Complaints'!Q27</f>
        <v>789</v>
      </c>
      <c r="N103" s="423">
        <v>1427</v>
      </c>
      <c r="O103" s="423">
        <v>1372</v>
      </c>
      <c r="P103" s="254">
        <f>(O103-N103)/N103</f>
        <v>-3.8542396636299929E-2</v>
      </c>
      <c r="Q103" s="427"/>
    </row>
    <row r="104" spans="1:17" ht="29.45">
      <c r="A104" s="3469"/>
      <c r="B104" s="3472"/>
      <c r="C104" s="3481"/>
      <c r="D104" s="3477"/>
      <c r="E104" s="422" t="s">
        <v>151</v>
      </c>
      <c r="F104" s="397" t="s">
        <v>29</v>
      </c>
      <c r="G104" s="397" t="s">
        <v>29</v>
      </c>
      <c r="H104" s="428">
        <f>'[1]Noise Complaints'!H29</f>
        <v>222.78294979079499</v>
      </c>
      <c r="I104" s="428">
        <f>'[1]Noise Complaints'!I29</f>
        <v>59.085184217402663</v>
      </c>
      <c r="J104" s="428">
        <f>'[1]Noise Complaints'!J29</f>
        <v>46.226861858911377</v>
      </c>
      <c r="K104" s="428">
        <f>'[1]Noise Complaints'!K29</f>
        <v>32.841528193952598</v>
      </c>
      <c r="L104" s="428">
        <f>'[1]Noise Complaints'!N29</f>
        <v>30.415065888677638</v>
      </c>
      <c r="M104" s="428">
        <f>'[1]Noise Complaints'!Q29</f>
        <v>20.352382344343759</v>
      </c>
      <c r="N104" s="428">
        <v>60.4</v>
      </c>
      <c r="O104" s="428">
        <v>27</v>
      </c>
      <c r="P104" s="254">
        <f>(O104-N104)/N104</f>
        <v>-0.55298013245033106</v>
      </c>
      <c r="Q104" s="427"/>
    </row>
    <row r="105" spans="1:17" ht="60" thickBot="1">
      <c r="A105" s="3470"/>
      <c r="B105" s="3473"/>
      <c r="C105" s="429" t="s">
        <v>152</v>
      </c>
      <c r="D105" s="430">
        <v>2025</v>
      </c>
      <c r="E105" s="431" t="s">
        <v>22</v>
      </c>
      <c r="F105" s="432" t="s">
        <v>23</v>
      </c>
      <c r="G105" s="432" t="s">
        <v>23</v>
      </c>
      <c r="H105" s="433" t="s">
        <v>24</v>
      </c>
      <c r="I105" s="433" t="s">
        <v>24</v>
      </c>
      <c r="J105" s="433" t="s">
        <v>24</v>
      </c>
      <c r="K105" s="433" t="s">
        <v>24</v>
      </c>
      <c r="L105" s="434" t="s">
        <v>24</v>
      </c>
      <c r="M105" s="435" t="s">
        <v>27</v>
      </c>
      <c r="N105" s="435" t="s">
        <v>27</v>
      </c>
      <c r="O105" s="435" t="s">
        <v>27</v>
      </c>
      <c r="P105" s="254"/>
      <c r="Q105" s="436"/>
    </row>
    <row r="106" spans="1:17">
      <c r="C106" s="230"/>
      <c r="D106" s="230"/>
      <c r="P106" s="230"/>
    </row>
    <row r="107" spans="1:17">
      <c r="C107" s="230"/>
      <c r="D107" s="230"/>
      <c r="P107" s="230"/>
    </row>
    <row r="108" spans="1:17">
      <c r="C108" s="230"/>
      <c r="D108" s="230"/>
      <c r="P108" s="230"/>
    </row>
    <row r="109" spans="1:17">
      <c r="A109" s="440"/>
      <c r="B109" s="441"/>
      <c r="C109" s="230"/>
      <c r="D109" s="230"/>
      <c r="P109" s="230"/>
    </row>
    <row r="110" spans="1:17" ht="27">
      <c r="A110" s="442"/>
      <c r="B110" s="443"/>
      <c r="C110" s="230"/>
      <c r="D110" s="230"/>
      <c r="E110" s="444" t="str">
        <f>'[1]Passengers (PAX), Air Traffi'!A9</f>
        <v>East Midlands</v>
      </c>
      <c r="F110" s="445"/>
      <c r="G110" s="445"/>
      <c r="H110" s="446">
        <f>'[1]Passengers (PAX), Air Traffi'!C10</f>
        <v>51197028</v>
      </c>
      <c r="I110" s="446">
        <f>'[1]Passengers (PAX), Air Traffi'!D10</f>
        <v>55254242</v>
      </c>
      <c r="J110" s="446">
        <f>'[1]Passengers (PAX), Air Traffi'!E10</f>
        <v>58877291</v>
      </c>
      <c r="K110" s="446">
        <f>'[1]Passengers (PAX), Air Traffi'!H10</f>
        <v>61829148</v>
      </c>
      <c r="L110" s="447">
        <f>'[1]Passengers (PAX), Air Traffi'!L10</f>
        <v>59598685</v>
      </c>
      <c r="M110" s="447">
        <f>'[1]Passengers (PAX), Air Traffi'!P10</f>
        <v>6323949</v>
      </c>
      <c r="N110" s="447"/>
      <c r="O110" s="447"/>
      <c r="P110" s="448">
        <f>(M110-L110)/L110</f>
        <v>-0.89389113199393577</v>
      </c>
    </row>
    <row r="111" spans="1:17">
      <c r="A111" s="438"/>
      <c r="C111" s="230"/>
      <c r="D111" s="439"/>
      <c r="E111" s="449" t="s">
        <v>153</v>
      </c>
      <c r="F111" s="450"/>
      <c r="G111" s="450"/>
      <c r="H111" s="450" t="s">
        <v>50</v>
      </c>
      <c r="I111" s="450" t="s">
        <v>50</v>
      </c>
      <c r="J111" s="450" t="s">
        <v>50</v>
      </c>
      <c r="K111" s="451">
        <f>'[1]H&amp;S and Sickness'!H43</f>
        <v>12190879</v>
      </c>
      <c r="L111" s="452">
        <f>'[1]H&amp;S and Sickness'!K43</f>
        <v>13550757</v>
      </c>
      <c r="M111" s="452">
        <f>'[1]H&amp;S and Sickness'!N43</f>
        <v>3826527</v>
      </c>
      <c r="N111" s="452"/>
      <c r="O111" s="452"/>
      <c r="P111" s="453">
        <f>(M111-L111)/L111</f>
        <v>-0.71761525942794191</v>
      </c>
    </row>
  </sheetData>
  <autoFilter ref="A2:R105" xr:uid="{F8FC10CC-3961-4054-9E7C-A4A6B7B0FD8D}"/>
  <mergeCells count="32">
    <mergeCell ref="A80:A105"/>
    <mergeCell ref="B80:B105"/>
    <mergeCell ref="C83:C84"/>
    <mergeCell ref="D83:D84"/>
    <mergeCell ref="C90:C91"/>
    <mergeCell ref="C92:C99"/>
    <mergeCell ref="C100:C104"/>
    <mergeCell ref="D100:D104"/>
    <mergeCell ref="A38:A79"/>
    <mergeCell ref="B38:B79"/>
    <mergeCell ref="C39:C42"/>
    <mergeCell ref="C43:C44"/>
    <mergeCell ref="D43:D44"/>
    <mergeCell ref="C45:C50"/>
    <mergeCell ref="D45:D50"/>
    <mergeCell ref="C55:C56"/>
    <mergeCell ref="D55:D56"/>
    <mergeCell ref="C58:C62"/>
    <mergeCell ref="D58:D62"/>
    <mergeCell ref="C65:C68"/>
    <mergeCell ref="D65:D68"/>
    <mergeCell ref="C71:C72"/>
    <mergeCell ref="C73:C74"/>
    <mergeCell ref="A3:A37"/>
    <mergeCell ref="B3:B37"/>
    <mergeCell ref="C4:C11"/>
    <mergeCell ref="C12:C16"/>
    <mergeCell ref="D12:D16"/>
    <mergeCell ref="C19:C22"/>
    <mergeCell ref="D19:D22"/>
    <mergeCell ref="C27:C30"/>
    <mergeCell ref="C36:C37"/>
  </mergeCells>
  <pageMargins left="0.7" right="0.7" top="0.75" bottom="0.75" header="0.3" footer="0.3"/>
  <pageSetup paperSize="9" scale="27" fitToHeight="0" orientation="landscape" r:id="rId1"/>
  <headerFooter>
    <oddHeader>&amp;L&amp;"Arial,Regular"&amp;9M.A.G CSR Data Reporting Spreadsheet
&amp;R&amp;G</oddHeader>
    <oddFooter>&amp;C&amp;"Arial,Regular"&amp;9
Produced by Simply Sustainable Ltd
_x000D_&amp;1#&amp;"Calibri"&amp;10&amp;K000000 C2 - Internal</oddFooter>
  </headerFooter>
  <legacyDrawingHF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380FD-CEB3-4DAE-9709-5FE659BBAF59}">
  <sheetPr>
    <tabColor theme="0"/>
  </sheetPr>
  <dimension ref="A1:M6"/>
  <sheetViews>
    <sheetView workbookViewId="0"/>
  </sheetViews>
  <sheetFormatPr defaultRowHeight="14.45"/>
  <cols>
    <col min="1" max="1" width="26.5703125" bestFit="1" customWidth="1"/>
  </cols>
  <sheetData>
    <row r="1" spans="1:13" s="180" customFormat="1" ht="15.6">
      <c r="A1" s="1013" t="s">
        <v>625</v>
      </c>
    </row>
    <row r="2" spans="1:13" s="180" customFormat="1" ht="25.9" customHeight="1">
      <c r="A2" s="3784" t="s">
        <v>626</v>
      </c>
      <c r="B2" s="3784"/>
      <c r="C2" s="3784"/>
      <c r="D2" s="3784"/>
      <c r="E2" s="3784"/>
      <c r="F2" s="3784"/>
    </row>
    <row r="3" spans="1:13" s="180" customFormat="1" ht="13.15">
      <c r="A3" s="770"/>
    </row>
    <row r="4" spans="1:13" s="180" customFormat="1" ht="14.65" customHeight="1">
      <c r="A4" s="136"/>
      <c r="B4" s="3786" t="s">
        <v>13</v>
      </c>
      <c r="C4" s="3787"/>
      <c r="D4" s="3788" t="s">
        <v>14</v>
      </c>
      <c r="E4" s="3789"/>
      <c r="F4" s="3788" t="s">
        <v>15</v>
      </c>
      <c r="G4" s="3789"/>
      <c r="H4" s="3788" t="s">
        <v>16</v>
      </c>
      <c r="I4" s="3789"/>
      <c r="J4" s="3788" t="s">
        <v>163</v>
      </c>
      <c r="K4" s="3789"/>
      <c r="L4" s="3779" t="s">
        <v>164</v>
      </c>
      <c r="M4" s="3780"/>
    </row>
    <row r="5" spans="1:13" s="180" customFormat="1" ht="185.25" customHeight="1">
      <c r="A5" s="1638" t="s">
        <v>627</v>
      </c>
      <c r="B5" s="3776" t="s">
        <v>628</v>
      </c>
      <c r="C5" s="3777"/>
      <c r="D5" s="3778" t="s">
        <v>628</v>
      </c>
      <c r="E5" s="3777"/>
      <c r="F5" s="3778" t="s">
        <v>628</v>
      </c>
      <c r="G5" s="3777"/>
      <c r="H5" s="3778" t="s">
        <v>628</v>
      </c>
      <c r="I5" s="3777"/>
      <c r="J5" s="3778" t="s">
        <v>628</v>
      </c>
      <c r="K5" s="3790"/>
      <c r="L5" s="3778" t="s">
        <v>628</v>
      </c>
      <c r="M5" s="3781"/>
    </row>
    <row r="6" spans="1:13" s="180" customFormat="1" ht="90" customHeight="1">
      <c r="A6" s="1637" t="s">
        <v>629</v>
      </c>
      <c r="B6" s="3791" t="s">
        <v>630</v>
      </c>
      <c r="C6" s="3791"/>
      <c r="D6" s="3792" t="s">
        <v>630</v>
      </c>
      <c r="E6" s="3791"/>
      <c r="F6" s="3782" t="s">
        <v>630</v>
      </c>
      <c r="G6" s="3785"/>
      <c r="H6" s="3792" t="s">
        <v>630</v>
      </c>
      <c r="I6" s="3791"/>
      <c r="J6" s="3782" t="s">
        <v>630</v>
      </c>
      <c r="K6" s="3785"/>
      <c r="L6" s="3782" t="s">
        <v>630</v>
      </c>
      <c r="M6" s="3783"/>
    </row>
  </sheetData>
  <mergeCells count="19">
    <mergeCell ref="L6:M6"/>
    <mergeCell ref="A2:F2"/>
    <mergeCell ref="J6:K6"/>
    <mergeCell ref="B4:C4"/>
    <mergeCell ref="D4:E4"/>
    <mergeCell ref="F4:G4"/>
    <mergeCell ref="H4:I4"/>
    <mergeCell ref="J4:K4"/>
    <mergeCell ref="J5:K5"/>
    <mergeCell ref="B6:C6"/>
    <mergeCell ref="D6:E6"/>
    <mergeCell ref="F6:G6"/>
    <mergeCell ref="H6:I6"/>
    <mergeCell ref="B5:C5"/>
    <mergeCell ref="D5:E5"/>
    <mergeCell ref="F5:G5"/>
    <mergeCell ref="H5:I5"/>
    <mergeCell ref="L4:M4"/>
    <mergeCell ref="L5:M5"/>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AAAC3-BCAC-425D-A2C1-0721A2989604}">
  <sheetPr codeName="Sheet18">
    <tabColor theme="0"/>
  </sheetPr>
  <dimension ref="B1:I9"/>
  <sheetViews>
    <sheetView showGridLines="0" zoomScaleNormal="100" workbookViewId="0"/>
  </sheetViews>
  <sheetFormatPr defaultColWidth="9.140625" defaultRowHeight="12"/>
  <cols>
    <col min="1" max="1" width="3.28515625" style="180" customWidth="1"/>
    <col min="2" max="2" width="83.140625" style="180" customWidth="1"/>
    <col min="3" max="4" width="13.7109375" style="180" hidden="1" customWidth="1"/>
    <col min="5" max="5" width="66.7109375" style="180" hidden="1" customWidth="1"/>
    <col min="6" max="9" width="66.7109375" style="180" customWidth="1"/>
    <col min="10" max="16384" width="9.140625" style="180"/>
  </cols>
  <sheetData>
    <row r="1" spans="2:9" ht="17.45">
      <c r="B1" s="11" t="s">
        <v>631</v>
      </c>
    </row>
    <row r="2" spans="2:9" ht="17.45">
      <c r="B2" s="11" t="s">
        <v>632</v>
      </c>
    </row>
    <row r="3" spans="2:9" ht="18" thickBot="1">
      <c r="B3" s="11"/>
    </row>
    <row r="4" spans="2:9" ht="13.9" thickBot="1">
      <c r="B4" s="1541" t="s">
        <v>633</v>
      </c>
      <c r="C4" s="197" t="s">
        <v>12</v>
      </c>
      <c r="D4" s="197" t="s">
        <v>13</v>
      </c>
      <c r="E4" s="197" t="s">
        <v>14</v>
      </c>
      <c r="F4" s="1542" t="s">
        <v>15</v>
      </c>
      <c r="G4" s="1542" t="s">
        <v>16</v>
      </c>
      <c r="H4" s="1543" t="s">
        <v>163</v>
      </c>
      <c r="I4" s="1543" t="s">
        <v>164</v>
      </c>
    </row>
    <row r="5" spans="2:9" ht="59.25" customHeight="1">
      <c r="B5" s="1539" t="s">
        <v>634</v>
      </c>
      <c r="C5" s="184" t="s">
        <v>252</v>
      </c>
      <c r="D5" s="184" t="s">
        <v>252</v>
      </c>
      <c r="E5" s="198" t="s">
        <v>635</v>
      </c>
      <c r="F5" s="198" t="s">
        <v>635</v>
      </c>
      <c r="G5" s="198" t="s">
        <v>635</v>
      </c>
      <c r="H5" s="1538" t="s">
        <v>635</v>
      </c>
      <c r="I5" s="1538" t="s">
        <v>635</v>
      </c>
    </row>
    <row r="6" spans="2:9" ht="73.5" customHeight="1">
      <c r="B6" s="1540" t="s">
        <v>636</v>
      </c>
      <c r="C6" s="185" t="s">
        <v>252</v>
      </c>
      <c r="D6" s="185" t="s">
        <v>252</v>
      </c>
      <c r="E6" s="199" t="s">
        <v>637</v>
      </c>
      <c r="F6" s="1537" t="s">
        <v>637</v>
      </c>
      <c r="G6" s="1537" t="s">
        <v>637</v>
      </c>
      <c r="H6" s="1537" t="s">
        <v>637</v>
      </c>
      <c r="I6" s="1537" t="s">
        <v>637</v>
      </c>
    </row>
    <row r="9" spans="2:9" ht="13.15">
      <c r="B9" s="196"/>
    </row>
  </sheetData>
  <phoneticPr fontId="16" type="noConversion"/>
  <pageMargins left="0.7" right="0.7" top="0.75" bottom="0.75" header="0.3" footer="0.3"/>
  <pageSetup paperSize="9" orientation="portrait" horizontalDpi="1200" verticalDpi="1200" r:id="rId1"/>
  <headerFooter>
    <oddFooter>&amp;C_x000D_&amp;1#&amp;"Calibri"&amp;10&amp;K000000 C2 - Internal</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9E902-68C2-4CDA-BFFB-EB9BF9F51C54}">
  <sheetPr codeName="Sheet17">
    <tabColor theme="0"/>
  </sheetPr>
  <dimension ref="B1:P13"/>
  <sheetViews>
    <sheetView showGridLines="0" workbookViewId="0"/>
  </sheetViews>
  <sheetFormatPr defaultColWidth="9.140625" defaultRowHeight="12"/>
  <cols>
    <col min="1" max="1" width="2.85546875" style="180" customWidth="1"/>
    <col min="2" max="2" width="109" style="180" customWidth="1"/>
    <col min="3" max="3" width="13.7109375" style="180" hidden="1" customWidth="1"/>
    <col min="4" max="4" width="3.5703125" style="180" hidden="1" customWidth="1"/>
    <col min="5" max="8" width="13.7109375" style="180" customWidth="1"/>
    <col min="9" max="9" width="14.5703125" style="180" customWidth="1"/>
    <col min="10" max="10" width="15.140625" style="180" customWidth="1"/>
    <col min="11" max="11" width="12.85546875" style="180" customWidth="1"/>
    <col min="12" max="12" width="13.42578125" style="180" customWidth="1"/>
    <col min="13" max="13" width="12.85546875" style="180" customWidth="1"/>
    <col min="14" max="14" width="13.42578125" style="180" customWidth="1"/>
    <col min="15" max="15" width="12.42578125" style="180" customWidth="1"/>
    <col min="16" max="16" width="13.140625" style="180" customWidth="1"/>
    <col min="17" max="16384" width="9.140625" style="180"/>
  </cols>
  <sheetData>
    <row r="1" spans="2:16" ht="17.45">
      <c r="B1" s="11" t="s">
        <v>638</v>
      </c>
    </row>
    <row r="2" spans="2:16" ht="17.45">
      <c r="B2" s="11" t="s">
        <v>639</v>
      </c>
    </row>
    <row r="3" spans="2:16" ht="18" thickBot="1">
      <c r="B3" s="11"/>
    </row>
    <row r="4" spans="2:16" ht="13.9" thickBot="1">
      <c r="C4" s="3812" t="s">
        <v>12</v>
      </c>
      <c r="D4" s="3813"/>
      <c r="E4" s="3814" t="s">
        <v>13</v>
      </c>
      <c r="F4" s="3810"/>
      <c r="G4" s="3793" t="s">
        <v>14</v>
      </c>
      <c r="H4" s="3794"/>
      <c r="I4" s="3809" t="s">
        <v>15</v>
      </c>
      <c r="J4" s="3810"/>
      <c r="K4" s="3793" t="s">
        <v>16</v>
      </c>
      <c r="L4" s="3794"/>
      <c r="M4" s="3809" t="s">
        <v>163</v>
      </c>
      <c r="N4" s="3811"/>
      <c r="O4" s="3809" t="s">
        <v>164</v>
      </c>
      <c r="P4" s="3811"/>
    </row>
    <row r="5" spans="2:16" ht="13.9" thickBot="1">
      <c r="B5" s="1533" t="s">
        <v>640</v>
      </c>
      <c r="C5" s="183" t="s">
        <v>251</v>
      </c>
      <c r="D5" s="1042" t="s">
        <v>253</v>
      </c>
      <c r="E5" s="1520" t="s">
        <v>251</v>
      </c>
      <c r="F5" s="1523" t="s">
        <v>253</v>
      </c>
      <c r="G5" s="1527" t="s">
        <v>251</v>
      </c>
      <c r="H5" s="1528" t="s">
        <v>253</v>
      </c>
      <c r="I5" s="1521" t="s">
        <v>251</v>
      </c>
      <c r="J5" s="1523" t="s">
        <v>253</v>
      </c>
      <c r="K5" s="1527" t="s">
        <v>251</v>
      </c>
      <c r="L5" s="1528" t="s">
        <v>253</v>
      </c>
      <c r="M5" s="1521" t="s">
        <v>251</v>
      </c>
      <c r="N5" s="1522" t="s">
        <v>253</v>
      </c>
      <c r="O5" s="1521" t="s">
        <v>641</v>
      </c>
      <c r="P5" s="1522" t="s">
        <v>253</v>
      </c>
    </row>
    <row r="6" spans="2:16" ht="13.15">
      <c r="B6" s="1534" t="s">
        <v>642</v>
      </c>
      <c r="C6" s="184" t="s">
        <v>252</v>
      </c>
      <c r="D6" s="184" t="s">
        <v>252</v>
      </c>
      <c r="E6" s="1039" t="s">
        <v>252</v>
      </c>
      <c r="F6" s="1524" t="s">
        <v>252</v>
      </c>
      <c r="G6" s="1529">
        <v>3430</v>
      </c>
      <c r="H6" s="1530">
        <v>1869</v>
      </c>
      <c r="I6" s="3804" t="s">
        <v>643</v>
      </c>
      <c r="J6" s="3805"/>
      <c r="K6" s="3816" t="s">
        <v>643</v>
      </c>
      <c r="L6" s="3817"/>
      <c r="M6" s="1075">
        <v>5570</v>
      </c>
      <c r="N6" s="1076">
        <v>3071</v>
      </c>
      <c r="O6" s="3816" t="s">
        <v>643</v>
      </c>
      <c r="P6" s="3817"/>
    </row>
    <row r="7" spans="2:16" ht="13.15">
      <c r="B7" s="1535" t="s">
        <v>644</v>
      </c>
      <c r="C7" s="185" t="s">
        <v>252</v>
      </c>
      <c r="D7" s="185" t="s">
        <v>252</v>
      </c>
      <c r="E7" s="1040" t="s">
        <v>252</v>
      </c>
      <c r="F7" s="1525" t="s">
        <v>252</v>
      </c>
      <c r="G7" s="1531">
        <v>3</v>
      </c>
      <c r="H7" s="1532">
        <v>0</v>
      </c>
      <c r="I7" s="3806" t="s">
        <v>643</v>
      </c>
      <c r="J7" s="3807"/>
      <c r="K7" s="3818" t="s">
        <v>643</v>
      </c>
      <c r="L7" s="3819"/>
      <c r="M7" s="1077">
        <v>95</v>
      </c>
      <c r="N7" s="1078">
        <v>109</v>
      </c>
      <c r="O7" s="3818" t="s">
        <v>643</v>
      </c>
      <c r="P7" s="3819"/>
    </row>
    <row r="8" spans="2:16" ht="13.15">
      <c r="B8" s="1535" t="s">
        <v>645</v>
      </c>
      <c r="C8" s="185" t="s">
        <v>252</v>
      </c>
      <c r="D8" s="185" t="s">
        <v>252</v>
      </c>
      <c r="E8" s="1040" t="s">
        <v>252</v>
      </c>
      <c r="F8" s="1525" t="s">
        <v>252</v>
      </c>
      <c r="G8" s="1531">
        <v>2</v>
      </c>
      <c r="H8" s="1532">
        <v>0</v>
      </c>
      <c r="I8" s="3808" t="s">
        <v>643</v>
      </c>
      <c r="J8" s="3808"/>
      <c r="K8" s="3820" t="s">
        <v>643</v>
      </c>
      <c r="L8" s="3821"/>
      <c r="M8" s="1077">
        <v>92</v>
      </c>
      <c r="N8" s="1079">
        <v>51</v>
      </c>
      <c r="O8" s="3820" t="s">
        <v>643</v>
      </c>
      <c r="P8" s="3821"/>
    </row>
    <row r="9" spans="2:16" ht="13.15">
      <c r="B9" s="1535" t="s">
        <v>646</v>
      </c>
      <c r="C9" s="185" t="s">
        <v>252</v>
      </c>
      <c r="D9" s="185" t="s">
        <v>252</v>
      </c>
      <c r="E9" s="1040" t="s">
        <v>252</v>
      </c>
      <c r="F9" s="1525" t="s">
        <v>252</v>
      </c>
      <c r="G9" s="3795" t="s">
        <v>643</v>
      </c>
      <c r="H9" s="3796"/>
      <c r="I9" s="3815" t="s">
        <v>643</v>
      </c>
      <c r="J9" s="3815"/>
      <c r="K9" s="3795" t="s">
        <v>643</v>
      </c>
      <c r="L9" s="3796"/>
      <c r="M9" s="3799" t="s">
        <v>643</v>
      </c>
      <c r="N9" s="3800"/>
      <c r="O9" s="3795" t="s">
        <v>643</v>
      </c>
      <c r="P9" s="3796"/>
    </row>
    <row r="10" spans="2:16" ht="13.15" customHeight="1" thickBot="1">
      <c r="B10" s="1536" t="s">
        <v>647</v>
      </c>
      <c r="C10" s="186" t="s">
        <v>252</v>
      </c>
      <c r="D10" s="186" t="s">
        <v>252</v>
      </c>
      <c r="E10" s="1041" t="s">
        <v>252</v>
      </c>
      <c r="F10" s="1526" t="s">
        <v>252</v>
      </c>
      <c r="G10" s="3797" t="s">
        <v>643</v>
      </c>
      <c r="H10" s="3798"/>
      <c r="I10" s="3803" t="s">
        <v>643</v>
      </c>
      <c r="J10" s="3803"/>
      <c r="K10" s="3797" t="s">
        <v>643</v>
      </c>
      <c r="L10" s="3798"/>
      <c r="M10" s="3801" t="s">
        <v>643</v>
      </c>
      <c r="N10" s="3802"/>
      <c r="O10" s="3797" t="s">
        <v>643</v>
      </c>
      <c r="P10" s="3798"/>
    </row>
    <row r="13" spans="2:16" ht="237.6">
      <c r="B13" s="196" t="s">
        <v>648</v>
      </c>
    </row>
  </sheetData>
  <mergeCells count="26">
    <mergeCell ref="O10:P10"/>
    <mergeCell ref="O4:P4"/>
    <mergeCell ref="C4:D4"/>
    <mergeCell ref="E4:F4"/>
    <mergeCell ref="K4:L4"/>
    <mergeCell ref="I9:J9"/>
    <mergeCell ref="K6:L6"/>
    <mergeCell ref="K7:L7"/>
    <mergeCell ref="K8:L8"/>
    <mergeCell ref="K9:L9"/>
    <mergeCell ref="O6:P6"/>
    <mergeCell ref="O7:P7"/>
    <mergeCell ref="O8:P8"/>
    <mergeCell ref="O9:P9"/>
    <mergeCell ref="K10:L10"/>
    <mergeCell ref="M4:N4"/>
    <mergeCell ref="G4:H4"/>
    <mergeCell ref="G9:H9"/>
    <mergeCell ref="G10:H10"/>
    <mergeCell ref="M9:N9"/>
    <mergeCell ref="M10:N10"/>
    <mergeCell ref="I10:J10"/>
    <mergeCell ref="I6:J6"/>
    <mergeCell ref="I7:J7"/>
    <mergeCell ref="I8:J8"/>
    <mergeCell ref="I4:J4"/>
  </mergeCells>
  <phoneticPr fontId="16" type="noConversion"/>
  <pageMargins left="0.7" right="0.7" top="0.75" bottom="0.75" header="0.3" footer="0.3"/>
  <headerFooter>
    <oddFooter>&amp;C_x000D_&amp;1#&amp;"Calibri"&amp;10&amp;K000000 C2 - Internal</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BE1FD-D362-4ABA-870E-BF8BBEECDC83}">
  <sheetPr codeName="Sheet21">
    <tabColor theme="0"/>
  </sheetPr>
  <dimension ref="A1:T81"/>
  <sheetViews>
    <sheetView showGridLines="0" topLeftCell="A3" zoomScale="84" zoomScaleNormal="90" workbookViewId="0">
      <pane xSplit="6" ySplit="1" topLeftCell="G4" activePane="bottomRight" state="frozen"/>
      <selection pane="bottomRight" activeCell="A3" sqref="A3"/>
      <selection pane="bottomLeft" activeCell="A4" sqref="A4"/>
      <selection pane="topRight" activeCell="G3" sqref="G3"/>
    </sheetView>
  </sheetViews>
  <sheetFormatPr defaultColWidth="9.140625" defaultRowHeight="13.15"/>
  <cols>
    <col min="1" max="1" width="2.5703125" style="6" customWidth="1"/>
    <col min="2" max="2" width="6.42578125" style="6" customWidth="1"/>
    <col min="3" max="3" width="30" style="6" customWidth="1"/>
    <col min="4" max="4" width="34.7109375" style="6" customWidth="1"/>
    <col min="5" max="6" width="12" style="6" hidden="1" customWidth="1"/>
    <col min="7" max="7" width="139.5703125" style="6" hidden="1" customWidth="1"/>
    <col min="8" max="8" width="123.140625" style="6" hidden="1" customWidth="1"/>
    <col min="9" max="14" width="27.7109375" style="6" customWidth="1"/>
    <col min="15" max="15" width="31.28515625" style="6" customWidth="1"/>
    <col min="16" max="16" width="36.42578125" style="6" customWidth="1"/>
    <col min="17" max="20" width="27.7109375" style="6" customWidth="1"/>
    <col min="21" max="16384" width="9.140625" style="6"/>
  </cols>
  <sheetData>
    <row r="1" spans="1:20" s="150" customFormat="1" ht="17.45">
      <c r="B1" s="3866" t="s">
        <v>649</v>
      </c>
      <c r="C1" s="4476"/>
      <c r="D1" s="4476"/>
    </row>
    <row r="2" spans="1:20" ht="17.45">
      <c r="B2" s="3866" t="s">
        <v>650</v>
      </c>
      <c r="C2" s="3867"/>
      <c r="D2" s="3868"/>
      <c r="E2" s="9"/>
      <c r="F2" s="9"/>
    </row>
    <row r="3" spans="1:20" ht="50.25" customHeight="1" thickBot="1">
      <c r="A3" s="122"/>
      <c r="D3" s="34"/>
      <c r="E3" s="3883" t="s">
        <v>651</v>
      </c>
      <c r="F3" s="3884"/>
      <c r="G3" s="3884"/>
      <c r="H3" s="3884"/>
    </row>
    <row r="4" spans="1:20" ht="13.15" customHeight="1" thickBot="1">
      <c r="A4" s="210" t="s">
        <v>652</v>
      </c>
      <c r="B4" s="151"/>
      <c r="C4" s="152"/>
      <c r="D4" s="152"/>
      <c r="E4" s="158" t="s">
        <v>12</v>
      </c>
      <c r="F4" s="158" t="s">
        <v>13</v>
      </c>
      <c r="G4" s="158" t="s">
        <v>14</v>
      </c>
      <c r="H4" s="524" t="s">
        <v>15</v>
      </c>
      <c r="I4" s="3861" t="s">
        <v>16</v>
      </c>
      <c r="J4" s="3862"/>
      <c r="K4" s="3862"/>
      <c r="L4" s="3863"/>
      <c r="M4" s="3861" t="s">
        <v>163</v>
      </c>
      <c r="N4" s="3862"/>
      <c r="O4" s="3862"/>
      <c r="P4" s="3863"/>
      <c r="Q4" s="3916" t="s">
        <v>164</v>
      </c>
      <c r="R4" s="3917"/>
      <c r="S4" s="3917"/>
      <c r="T4" s="3918"/>
    </row>
    <row r="5" spans="1:20" ht="25.5" customHeight="1" thickBot="1">
      <c r="A5" s="3865" t="s">
        <v>653</v>
      </c>
      <c r="B5" s="3869" t="s">
        <v>654</v>
      </c>
      <c r="C5" s="3872" t="s">
        <v>655</v>
      </c>
      <c r="D5" s="147" t="s">
        <v>656</v>
      </c>
      <c r="E5" s="178" t="s">
        <v>252</v>
      </c>
      <c r="F5" s="178" t="s">
        <v>252</v>
      </c>
      <c r="G5" s="545"/>
      <c r="H5" s="545"/>
      <c r="I5" s="4477"/>
      <c r="J5" s="4477"/>
      <c r="K5" s="4477"/>
      <c r="L5" s="4477"/>
      <c r="M5" s="4478"/>
      <c r="N5" s="4479"/>
      <c r="O5" s="4479"/>
      <c r="P5" s="4479"/>
      <c r="Q5" s="4478"/>
      <c r="R5" s="4479"/>
      <c r="S5" s="4479"/>
      <c r="T5" s="4480"/>
    </row>
    <row r="6" spans="1:20" ht="39.6">
      <c r="A6" s="3865"/>
      <c r="B6" s="3870"/>
      <c r="C6" s="3873"/>
      <c r="D6" s="148" t="s">
        <v>657</v>
      </c>
      <c r="E6" s="148" t="s">
        <v>252</v>
      </c>
      <c r="F6" s="148" t="s">
        <v>252</v>
      </c>
      <c r="G6" s="3880" t="s">
        <v>658</v>
      </c>
      <c r="H6" s="3880" t="s">
        <v>658</v>
      </c>
      <c r="I6" s="3864" t="s">
        <v>658</v>
      </c>
      <c r="J6" s="3520"/>
      <c r="K6" s="3520"/>
      <c r="L6" s="3520"/>
      <c r="M6" s="3864" t="s">
        <v>658</v>
      </c>
      <c r="N6" s="3520"/>
      <c r="O6" s="3520"/>
      <c r="P6" s="3520"/>
      <c r="Q6" s="3919" t="s">
        <v>658</v>
      </c>
      <c r="R6" s="3919"/>
      <c r="S6" s="3919"/>
      <c r="T6" s="3919"/>
    </row>
    <row r="7" spans="1:20" ht="39.6">
      <c r="A7" s="3865"/>
      <c r="B7" s="3870"/>
      <c r="C7" s="3873"/>
      <c r="D7" s="148" t="s">
        <v>659</v>
      </c>
      <c r="E7" s="148" t="s">
        <v>252</v>
      </c>
      <c r="F7" s="148" t="s">
        <v>252</v>
      </c>
      <c r="G7" s="3881"/>
      <c r="H7" s="3881"/>
      <c r="I7" s="3864"/>
      <c r="J7" s="3520"/>
      <c r="K7" s="3520"/>
      <c r="L7" s="3520"/>
      <c r="M7" s="3864"/>
      <c r="N7" s="3520"/>
      <c r="O7" s="3520"/>
      <c r="P7" s="3520"/>
      <c r="Q7" s="3919"/>
      <c r="R7" s="3919"/>
      <c r="S7" s="3919"/>
      <c r="T7" s="3919"/>
    </row>
    <row r="8" spans="1:20" ht="66">
      <c r="A8" s="3865"/>
      <c r="B8" s="3870"/>
      <c r="C8" s="3873"/>
      <c r="D8" s="148" t="s">
        <v>660</v>
      </c>
      <c r="E8" s="148" t="s">
        <v>252</v>
      </c>
      <c r="F8" s="148" t="s">
        <v>252</v>
      </c>
      <c r="G8" s="3881"/>
      <c r="H8" s="3881"/>
      <c r="I8" s="3864"/>
      <c r="J8" s="3520"/>
      <c r="K8" s="3520"/>
      <c r="L8" s="3520"/>
      <c r="M8" s="3864"/>
      <c r="N8" s="3520"/>
      <c r="O8" s="3520"/>
      <c r="P8" s="3520"/>
      <c r="Q8" s="3919"/>
      <c r="R8" s="3919"/>
      <c r="S8" s="3919"/>
      <c r="T8" s="3919"/>
    </row>
    <row r="9" spans="1:20" ht="97.15" customHeight="1" thickBot="1">
      <c r="A9" s="3865"/>
      <c r="B9" s="3871"/>
      <c r="C9" s="3874"/>
      <c r="D9" s="149" t="s">
        <v>661</v>
      </c>
      <c r="E9" s="149" t="s">
        <v>252</v>
      </c>
      <c r="F9" s="149" t="s">
        <v>252</v>
      </c>
      <c r="G9" s="3882"/>
      <c r="H9" s="3882"/>
      <c r="I9" s="3864"/>
      <c r="J9" s="3520"/>
      <c r="K9" s="3520"/>
      <c r="L9" s="3520"/>
      <c r="M9" s="3864"/>
      <c r="N9" s="3520"/>
      <c r="O9" s="3520"/>
      <c r="P9" s="3520"/>
      <c r="Q9" s="3919"/>
      <c r="R9" s="3919"/>
      <c r="S9" s="3919"/>
      <c r="T9" s="3919"/>
    </row>
    <row r="10" spans="1:20" ht="92.25" customHeight="1" thickBot="1">
      <c r="A10" s="3865"/>
      <c r="B10" s="3869" t="s">
        <v>662</v>
      </c>
      <c r="C10" s="3907" t="s">
        <v>663</v>
      </c>
      <c r="D10" s="148" t="s">
        <v>656</v>
      </c>
      <c r="E10" s="157" t="s">
        <v>252</v>
      </c>
      <c r="F10" s="157" t="s">
        <v>252</v>
      </c>
      <c r="G10" s="545"/>
      <c r="H10" s="545"/>
      <c r="I10" s="4477"/>
      <c r="J10" s="4477"/>
      <c r="K10" s="4477"/>
      <c r="L10" s="4481"/>
      <c r="M10" s="4477"/>
      <c r="N10" s="4477"/>
      <c r="O10" s="4477"/>
      <c r="P10" s="4477"/>
      <c r="Q10" s="4482"/>
      <c r="R10" s="4477"/>
      <c r="S10" s="4477"/>
      <c r="T10" s="4481"/>
    </row>
    <row r="11" spans="1:20" ht="79.150000000000006">
      <c r="A11" s="3865"/>
      <c r="B11" s="3870"/>
      <c r="C11" s="3908"/>
      <c r="D11" s="148" t="s">
        <v>664</v>
      </c>
      <c r="E11" s="148" t="s">
        <v>252</v>
      </c>
      <c r="F11" s="148" t="s">
        <v>252</v>
      </c>
      <c r="G11" s="3880" t="s">
        <v>665</v>
      </c>
      <c r="H11" s="3890" t="s">
        <v>665</v>
      </c>
      <c r="I11" s="3860" t="s">
        <v>665</v>
      </c>
      <c r="J11" s="3860"/>
      <c r="K11" s="3860"/>
      <c r="L11" s="3898"/>
      <c r="M11" s="3897" t="s">
        <v>666</v>
      </c>
      <c r="N11" s="3860"/>
      <c r="O11" s="3860"/>
      <c r="P11" s="3860"/>
      <c r="Q11" s="3920" t="s">
        <v>667</v>
      </c>
      <c r="R11" s="3920"/>
      <c r="S11" s="3920"/>
      <c r="T11" s="3920"/>
    </row>
    <row r="12" spans="1:20" ht="257.25" customHeight="1">
      <c r="A12" s="3865"/>
      <c r="B12" s="3870"/>
      <c r="C12" s="3908"/>
      <c r="D12" s="148" t="s">
        <v>668</v>
      </c>
      <c r="E12" s="148" t="s">
        <v>252</v>
      </c>
      <c r="F12" s="148" t="s">
        <v>252</v>
      </c>
      <c r="G12" s="3881"/>
      <c r="H12" s="3891"/>
      <c r="I12" s="3860"/>
      <c r="J12" s="3860"/>
      <c r="K12" s="3860"/>
      <c r="L12" s="3898"/>
      <c r="M12" s="3897"/>
      <c r="N12" s="3860"/>
      <c r="O12" s="3860"/>
      <c r="P12" s="3860"/>
      <c r="Q12" s="3920"/>
      <c r="R12" s="3920"/>
      <c r="S12" s="3920"/>
      <c r="T12" s="3920"/>
    </row>
    <row r="13" spans="1:20" ht="257.25" customHeight="1">
      <c r="A13" s="3865"/>
      <c r="B13" s="3870"/>
      <c r="C13" s="3908"/>
      <c r="D13" s="148" t="s">
        <v>669</v>
      </c>
      <c r="E13" s="148" t="s">
        <v>252</v>
      </c>
      <c r="F13" s="148" t="s">
        <v>252</v>
      </c>
      <c r="G13" s="3881"/>
      <c r="H13" s="3891"/>
      <c r="I13" s="3860"/>
      <c r="J13" s="3860"/>
      <c r="K13" s="3860"/>
      <c r="L13" s="3898"/>
      <c r="M13" s="3897"/>
      <c r="N13" s="3860"/>
      <c r="O13" s="3860"/>
      <c r="P13" s="3860"/>
      <c r="Q13" s="3920"/>
      <c r="R13" s="3920"/>
      <c r="S13" s="3920"/>
      <c r="T13" s="3920"/>
    </row>
    <row r="14" spans="1:20" ht="66">
      <c r="A14" s="3865"/>
      <c r="B14" s="3870"/>
      <c r="C14" s="3908"/>
      <c r="D14" s="148" t="s">
        <v>670</v>
      </c>
      <c r="E14" s="148" t="s">
        <v>252</v>
      </c>
      <c r="F14" s="148" t="s">
        <v>252</v>
      </c>
      <c r="G14" s="3881"/>
      <c r="H14" s="3891"/>
      <c r="I14" s="3860"/>
      <c r="J14" s="3860"/>
      <c r="K14" s="3860"/>
      <c r="L14" s="3898"/>
      <c r="M14" s="3897"/>
      <c r="N14" s="3860"/>
      <c r="O14" s="3860"/>
      <c r="P14" s="3860"/>
      <c r="Q14" s="3920"/>
      <c r="R14" s="3920"/>
      <c r="S14" s="3920"/>
      <c r="T14" s="3920"/>
    </row>
    <row r="15" spans="1:20" ht="70.5" customHeight="1">
      <c r="A15" s="3865"/>
      <c r="B15" s="3870"/>
      <c r="C15" s="3908"/>
      <c r="D15" s="148" t="s">
        <v>671</v>
      </c>
      <c r="E15" s="148" t="s">
        <v>252</v>
      </c>
      <c r="F15" s="148" t="s">
        <v>252</v>
      </c>
      <c r="G15" s="3881"/>
      <c r="H15" s="3891"/>
      <c r="I15" s="3860"/>
      <c r="J15" s="3860"/>
      <c r="K15" s="3860"/>
      <c r="L15" s="3898"/>
      <c r="M15" s="3897"/>
      <c r="N15" s="3860"/>
      <c r="O15" s="3860"/>
      <c r="P15" s="3860"/>
      <c r="Q15" s="3920"/>
      <c r="R15" s="3920"/>
      <c r="S15" s="3920"/>
      <c r="T15" s="3920"/>
    </row>
    <row r="16" spans="1:20" ht="409.5" customHeight="1" thickBot="1">
      <c r="A16" s="3865"/>
      <c r="B16" s="3870"/>
      <c r="C16" s="3908"/>
      <c r="D16" s="148" t="s">
        <v>672</v>
      </c>
      <c r="E16" s="148" t="s">
        <v>252</v>
      </c>
      <c r="F16" s="148" t="s">
        <v>252</v>
      </c>
      <c r="G16" s="3882"/>
      <c r="H16" s="3892"/>
      <c r="I16" s="3860"/>
      <c r="J16" s="3860"/>
      <c r="K16" s="3860"/>
      <c r="L16" s="3898"/>
      <c r="M16" s="3897"/>
      <c r="N16" s="3860"/>
      <c r="O16" s="3860"/>
      <c r="P16" s="3860"/>
      <c r="Q16" s="3920"/>
      <c r="R16" s="3920"/>
      <c r="S16" s="3920"/>
      <c r="T16" s="3920"/>
    </row>
    <row r="17" spans="1:20" ht="268.5" customHeight="1" thickBot="1">
      <c r="A17" s="3865"/>
      <c r="B17" s="148"/>
      <c r="C17" s="3909"/>
      <c r="D17" s="148"/>
      <c r="E17" s="148"/>
      <c r="F17" s="148"/>
      <c r="G17" s="903"/>
      <c r="H17" s="903"/>
      <c r="I17" s="3886"/>
      <c r="J17" s="3886"/>
      <c r="K17" s="3886"/>
      <c r="L17" s="3906"/>
      <c r="M17" s="3885"/>
      <c r="N17" s="3886"/>
      <c r="O17" s="3886"/>
      <c r="P17" s="3886"/>
      <c r="Q17" s="3920"/>
      <c r="R17" s="3920"/>
      <c r="S17" s="3920"/>
      <c r="T17" s="3920"/>
    </row>
    <row r="18" spans="1:20" ht="25.5" customHeight="1">
      <c r="A18" s="3865"/>
      <c r="B18" s="3869" t="s">
        <v>673</v>
      </c>
      <c r="C18" s="3872" t="s">
        <v>674</v>
      </c>
      <c r="D18" s="159" t="s">
        <v>656</v>
      </c>
      <c r="E18" s="179" t="s">
        <v>252</v>
      </c>
      <c r="F18" s="179" t="s">
        <v>252</v>
      </c>
      <c r="G18" s="545"/>
      <c r="H18" s="545"/>
      <c r="I18" s="4479"/>
      <c r="J18" s="4479"/>
      <c r="K18" s="4479"/>
      <c r="L18" s="4480"/>
      <c r="M18" s="4479"/>
      <c r="N18" s="4479"/>
      <c r="O18" s="4479"/>
      <c r="P18" s="4479"/>
      <c r="Q18" s="4482"/>
      <c r="R18" s="4477"/>
      <c r="S18" s="4477"/>
      <c r="T18" s="4481"/>
    </row>
    <row r="19" spans="1:20" ht="58.5" customHeight="1" thickBot="1">
      <c r="A19" s="3865"/>
      <c r="B19" s="3871"/>
      <c r="C19" s="3874"/>
      <c r="D19" s="160" t="s">
        <v>675</v>
      </c>
      <c r="E19" s="160" t="s">
        <v>252</v>
      </c>
      <c r="F19" s="160" t="s">
        <v>252</v>
      </c>
      <c r="G19" s="162" t="s">
        <v>676</v>
      </c>
      <c r="H19" s="523" t="s">
        <v>676</v>
      </c>
      <c r="I19" s="3864" t="s">
        <v>676</v>
      </c>
      <c r="J19" s="3520"/>
      <c r="K19" s="3520"/>
      <c r="L19" s="3905"/>
      <c r="M19" s="3864" t="s">
        <v>676</v>
      </c>
      <c r="N19" s="3520"/>
      <c r="O19" s="3520"/>
      <c r="P19" s="3520"/>
      <c r="Q19" s="3919" t="s">
        <v>676</v>
      </c>
      <c r="R19" s="3919"/>
      <c r="S19" s="3919"/>
      <c r="T19" s="3919"/>
    </row>
    <row r="20" spans="1:20" ht="25.5" customHeight="1">
      <c r="A20" s="3865"/>
      <c r="B20" s="3869" t="s">
        <v>677</v>
      </c>
      <c r="C20" s="3872" t="s">
        <v>678</v>
      </c>
      <c r="D20" s="148" t="s">
        <v>656</v>
      </c>
      <c r="E20" s="157" t="s">
        <v>252</v>
      </c>
      <c r="F20" s="157" t="s">
        <v>252</v>
      </c>
      <c r="G20" s="546"/>
      <c r="H20" s="547"/>
      <c r="I20" s="3854"/>
      <c r="J20" s="3855"/>
      <c r="K20" s="3855"/>
      <c r="L20" s="3855"/>
      <c r="M20" s="3854"/>
      <c r="N20" s="3855"/>
      <c r="O20" s="3855"/>
      <c r="P20" s="3855"/>
      <c r="Q20" s="3902"/>
      <c r="R20" s="3903"/>
      <c r="S20" s="3903"/>
      <c r="T20" s="3904"/>
    </row>
    <row r="21" spans="1:20" ht="105.6">
      <c r="A21" s="3865"/>
      <c r="B21" s="3870"/>
      <c r="C21" s="3873"/>
      <c r="D21" s="148" t="s">
        <v>679</v>
      </c>
      <c r="E21" s="148" t="s">
        <v>252</v>
      </c>
      <c r="F21" s="148" t="s">
        <v>252</v>
      </c>
      <c r="G21" s="3887" t="s">
        <v>680</v>
      </c>
      <c r="H21" s="3864" t="s">
        <v>680</v>
      </c>
      <c r="I21" s="3897" t="s">
        <v>680</v>
      </c>
      <c r="J21" s="3860"/>
      <c r="K21" s="3860"/>
      <c r="L21" s="3898"/>
      <c r="M21" s="3897" t="s">
        <v>681</v>
      </c>
      <c r="N21" s="3860"/>
      <c r="O21" s="3860"/>
      <c r="P21" s="3860"/>
      <c r="Q21" s="3920" t="s">
        <v>682</v>
      </c>
      <c r="R21" s="3920"/>
      <c r="S21" s="3920"/>
      <c r="T21" s="3920"/>
    </row>
    <row r="22" spans="1:20" ht="99.4" customHeight="1" thickBot="1">
      <c r="A22" s="3865"/>
      <c r="B22" s="3871"/>
      <c r="C22" s="3874"/>
      <c r="D22" s="149" t="s">
        <v>683</v>
      </c>
      <c r="E22" s="149" t="s">
        <v>252</v>
      </c>
      <c r="F22" s="149" t="s">
        <v>252</v>
      </c>
      <c r="G22" s="3882"/>
      <c r="H22" s="3892"/>
      <c r="I22" s="3897"/>
      <c r="J22" s="3860"/>
      <c r="K22" s="3860"/>
      <c r="L22" s="3898"/>
      <c r="M22" s="3897"/>
      <c r="N22" s="3860"/>
      <c r="O22" s="3860"/>
      <c r="P22" s="3860"/>
      <c r="Q22" s="3920"/>
      <c r="R22" s="3920"/>
      <c r="S22" s="3920"/>
      <c r="T22" s="3920"/>
    </row>
    <row r="23" spans="1:20" ht="66">
      <c r="A23" s="3865"/>
      <c r="B23" s="3869" t="s">
        <v>684</v>
      </c>
      <c r="C23" s="3872" t="s">
        <v>685</v>
      </c>
      <c r="D23" s="148" t="s">
        <v>686</v>
      </c>
      <c r="E23" s="157" t="s">
        <v>252</v>
      </c>
      <c r="F23" s="157" t="s">
        <v>252</v>
      </c>
      <c r="G23" s="546"/>
      <c r="H23" s="547"/>
      <c r="I23" s="3854"/>
      <c r="J23" s="3855"/>
      <c r="K23" s="3855"/>
      <c r="L23" s="3896"/>
      <c r="M23" s="3854"/>
      <c r="N23" s="3855"/>
      <c r="O23" s="3855"/>
      <c r="P23" s="3855"/>
      <c r="Q23" s="3902"/>
      <c r="R23" s="3903"/>
      <c r="S23" s="3903"/>
      <c r="T23" s="3904"/>
    </row>
    <row r="24" spans="1:20" ht="79.900000000000006" thickBot="1">
      <c r="A24" s="3865"/>
      <c r="B24" s="3871"/>
      <c r="C24" s="3874"/>
      <c r="D24" s="149" t="s">
        <v>687</v>
      </c>
      <c r="E24" s="149" t="s">
        <v>252</v>
      </c>
      <c r="F24" s="149" t="s">
        <v>252</v>
      </c>
      <c r="G24" s="162" t="s">
        <v>688</v>
      </c>
      <c r="H24" s="523" t="s">
        <v>688</v>
      </c>
      <c r="I24" s="3885" t="s">
        <v>688</v>
      </c>
      <c r="J24" s="3886"/>
      <c r="K24" s="3886"/>
      <c r="L24" s="3906"/>
      <c r="M24" s="3885" t="s">
        <v>688</v>
      </c>
      <c r="N24" s="3886"/>
      <c r="O24" s="3886"/>
      <c r="P24" s="3886"/>
      <c r="Q24" s="3920" t="s">
        <v>688</v>
      </c>
      <c r="R24" s="3920"/>
      <c r="S24" s="3920"/>
      <c r="T24" s="3920"/>
    </row>
    <row r="25" spans="1:20" ht="66">
      <c r="A25" s="3865"/>
      <c r="B25" s="3869" t="s">
        <v>689</v>
      </c>
      <c r="C25" s="3872" t="s">
        <v>690</v>
      </c>
      <c r="D25" s="147" t="s">
        <v>691</v>
      </c>
      <c r="E25" s="178" t="s">
        <v>252</v>
      </c>
      <c r="F25" s="178" t="s">
        <v>252</v>
      </c>
      <c r="G25" s="546"/>
      <c r="H25" s="547"/>
      <c r="I25" s="3902"/>
      <c r="J25" s="3903"/>
      <c r="K25" s="3903"/>
      <c r="L25" s="3904"/>
      <c r="M25" s="3902"/>
      <c r="N25" s="3903"/>
      <c r="O25" s="3903"/>
      <c r="P25" s="3903"/>
      <c r="Q25" s="3902"/>
      <c r="R25" s="3903"/>
      <c r="S25" s="3903"/>
      <c r="T25" s="3903"/>
    </row>
    <row r="26" spans="1:20" ht="85.5" customHeight="1">
      <c r="A26" s="3865"/>
      <c r="B26" s="3870"/>
      <c r="C26" s="3873"/>
      <c r="D26" s="148" t="s">
        <v>692</v>
      </c>
      <c r="E26" s="148" t="s">
        <v>252</v>
      </c>
      <c r="F26" s="148" t="s">
        <v>252</v>
      </c>
      <c r="G26" s="3887" t="s">
        <v>693</v>
      </c>
      <c r="H26" s="3864" t="s">
        <v>693</v>
      </c>
      <c r="I26" s="3897" t="s">
        <v>693</v>
      </c>
      <c r="J26" s="3860"/>
      <c r="K26" s="3860"/>
      <c r="L26" s="3898"/>
      <c r="M26" s="3897" t="s">
        <v>694</v>
      </c>
      <c r="N26" s="3860"/>
      <c r="O26" s="3860"/>
      <c r="P26" s="3860"/>
      <c r="Q26" s="3921" t="s">
        <v>695</v>
      </c>
      <c r="R26" s="3920"/>
      <c r="S26" s="3920"/>
      <c r="T26" s="3920"/>
    </row>
    <row r="27" spans="1:20" ht="408.75" customHeight="1" thickBot="1">
      <c r="A27" s="3865"/>
      <c r="B27" s="3871"/>
      <c r="C27" s="3874"/>
      <c r="D27" s="149" t="s">
        <v>696</v>
      </c>
      <c r="E27" s="149" t="s">
        <v>252</v>
      </c>
      <c r="F27" s="149" t="s">
        <v>252</v>
      </c>
      <c r="G27" s="3882"/>
      <c r="H27" s="3892"/>
      <c r="I27" s="3897"/>
      <c r="J27" s="3860"/>
      <c r="K27" s="3860"/>
      <c r="L27" s="3898"/>
      <c r="M27" s="3897"/>
      <c r="N27" s="3860"/>
      <c r="O27" s="3860"/>
      <c r="P27" s="3860"/>
      <c r="Q27" s="3920"/>
      <c r="R27" s="3920"/>
      <c r="S27" s="3920"/>
      <c r="T27" s="3920"/>
    </row>
    <row r="28" spans="1:20" ht="192" customHeight="1">
      <c r="A28" s="3865"/>
      <c r="B28" s="3869" t="s">
        <v>697</v>
      </c>
      <c r="C28" s="3872" t="s">
        <v>698</v>
      </c>
      <c r="D28" s="148" t="s">
        <v>640</v>
      </c>
      <c r="E28" s="157" t="s">
        <v>252</v>
      </c>
      <c r="F28" s="157" t="s">
        <v>252</v>
      </c>
      <c r="G28" s="546"/>
      <c r="H28" s="547"/>
      <c r="I28" s="3899" t="s">
        <v>699</v>
      </c>
      <c r="J28" s="3900"/>
      <c r="K28" s="3900"/>
      <c r="L28" s="3901"/>
      <c r="M28" s="3899" t="s">
        <v>699</v>
      </c>
      <c r="N28" s="3900"/>
      <c r="O28" s="3900"/>
      <c r="P28" s="3900"/>
      <c r="Q28" s="3897" t="s">
        <v>699</v>
      </c>
      <c r="R28" s="3860"/>
      <c r="S28" s="3860"/>
      <c r="T28" s="3898"/>
    </row>
    <row r="29" spans="1:20" ht="409.5" customHeight="1">
      <c r="A29" s="3865"/>
      <c r="B29" s="3870"/>
      <c r="C29" s="3873"/>
      <c r="D29" s="3888" t="s">
        <v>700</v>
      </c>
      <c r="E29" s="3888" t="s">
        <v>252</v>
      </c>
      <c r="F29" s="3888" t="s">
        <v>252</v>
      </c>
      <c r="G29" s="3887" t="s">
        <v>699</v>
      </c>
      <c r="H29" s="3864" t="s">
        <v>699</v>
      </c>
      <c r="I29" s="3897"/>
      <c r="J29" s="3860"/>
      <c r="K29" s="3860"/>
      <c r="L29" s="3898"/>
      <c r="M29" s="3897"/>
      <c r="N29" s="3860"/>
      <c r="O29" s="3860"/>
      <c r="P29" s="3860"/>
      <c r="Q29" s="3897"/>
      <c r="R29" s="3860"/>
      <c r="S29" s="3860"/>
      <c r="T29" s="3898"/>
    </row>
    <row r="30" spans="1:20" ht="113.65" customHeight="1" thickBot="1">
      <c r="A30" s="3865"/>
      <c r="B30" s="3871"/>
      <c r="C30" s="3874"/>
      <c r="D30" s="3889"/>
      <c r="E30" s="3889"/>
      <c r="F30" s="3889"/>
      <c r="G30" s="3882"/>
      <c r="H30" s="3892"/>
      <c r="I30" s="3897"/>
      <c r="J30" s="3860"/>
      <c r="K30" s="3860"/>
      <c r="L30" s="3898"/>
      <c r="M30" s="3897"/>
      <c r="N30" s="3860"/>
      <c r="O30" s="3860"/>
      <c r="P30" s="3860"/>
      <c r="Q30" s="3897"/>
      <c r="R30" s="3860"/>
      <c r="S30" s="3860"/>
      <c r="T30" s="3898"/>
    </row>
    <row r="31" spans="1:20" ht="26.45">
      <c r="A31" s="3865"/>
      <c r="B31" s="3869" t="s">
        <v>701</v>
      </c>
      <c r="C31" s="3872" t="s">
        <v>702</v>
      </c>
      <c r="D31" s="148" t="s">
        <v>640</v>
      </c>
      <c r="E31" s="157" t="s">
        <v>252</v>
      </c>
      <c r="F31" s="157" t="s">
        <v>252</v>
      </c>
      <c r="G31" s="548"/>
      <c r="H31" s="549"/>
      <c r="I31" s="3910" t="s">
        <v>703</v>
      </c>
      <c r="J31" s="3911"/>
      <c r="K31" s="3911"/>
      <c r="L31" s="3912"/>
      <c r="M31" s="3910"/>
      <c r="N31" s="3911"/>
      <c r="O31" s="3911"/>
      <c r="P31" s="3911"/>
      <c r="Q31" s="3910"/>
      <c r="R31" s="3911"/>
      <c r="S31" s="3911"/>
      <c r="T31" s="3912"/>
    </row>
    <row r="32" spans="1:20" ht="66">
      <c r="A32" s="3865"/>
      <c r="B32" s="3870"/>
      <c r="C32" s="3873"/>
      <c r="D32" s="148" t="s">
        <v>704</v>
      </c>
      <c r="E32" s="148" t="s">
        <v>252</v>
      </c>
      <c r="F32" s="148" t="s">
        <v>252</v>
      </c>
      <c r="G32" s="550" t="s">
        <v>703</v>
      </c>
      <c r="H32" s="551" t="s">
        <v>703</v>
      </c>
      <c r="I32" s="3913"/>
      <c r="J32" s="3914"/>
      <c r="K32" s="3914"/>
      <c r="L32" s="3915"/>
      <c r="M32" s="3913"/>
      <c r="N32" s="3914"/>
      <c r="O32" s="3914"/>
      <c r="P32" s="3914"/>
      <c r="Q32" s="3913"/>
      <c r="R32" s="3914"/>
      <c r="S32" s="3914"/>
      <c r="T32" s="3915"/>
    </row>
    <row r="33" spans="1:20" ht="25.5" customHeight="1">
      <c r="A33" s="3865"/>
      <c r="B33" s="3870"/>
      <c r="C33" s="3878"/>
      <c r="D33" s="532" t="s">
        <v>705</v>
      </c>
      <c r="E33" s="148" t="s">
        <v>252</v>
      </c>
      <c r="F33" s="148" t="s">
        <v>252</v>
      </c>
      <c r="G33" s="163" t="s">
        <v>180</v>
      </c>
      <c r="H33" s="528" t="s">
        <v>180</v>
      </c>
      <c r="I33" s="3856" t="s">
        <v>180</v>
      </c>
      <c r="J33" s="3857"/>
      <c r="K33" s="3857"/>
      <c r="L33" s="3895"/>
      <c r="M33" s="3856" t="s">
        <v>180</v>
      </c>
      <c r="N33" s="3857"/>
      <c r="O33" s="3857"/>
      <c r="P33" s="3857"/>
      <c r="Q33" s="3856" t="s">
        <v>180</v>
      </c>
      <c r="R33" s="3857"/>
      <c r="S33" s="3857"/>
      <c r="T33" s="3895"/>
    </row>
    <row r="34" spans="1:20" ht="38.25" customHeight="1">
      <c r="A34" s="3865"/>
      <c r="B34" s="3870"/>
      <c r="C34" s="3873"/>
      <c r="D34" s="148" t="s">
        <v>706</v>
      </c>
      <c r="E34" s="148" t="s">
        <v>252</v>
      </c>
      <c r="F34" s="56" t="s">
        <v>252</v>
      </c>
      <c r="G34" s="566" t="s">
        <v>180</v>
      </c>
      <c r="H34" s="565" t="s">
        <v>180</v>
      </c>
      <c r="I34" s="3858" t="s">
        <v>180</v>
      </c>
      <c r="J34" s="3858"/>
      <c r="K34" s="3858"/>
      <c r="L34" s="3894"/>
      <c r="M34" s="3858" t="s">
        <v>180</v>
      </c>
      <c r="N34" s="3858"/>
      <c r="O34" s="3858"/>
      <c r="P34" s="3858"/>
      <c r="Q34" s="3922" t="s">
        <v>180</v>
      </c>
      <c r="R34" s="3858"/>
      <c r="S34" s="3858"/>
      <c r="T34" s="3894"/>
    </row>
    <row r="35" spans="1:20" ht="38.65" customHeight="1" thickBot="1">
      <c r="A35" s="3865"/>
      <c r="B35" s="3870"/>
      <c r="C35" s="3878"/>
      <c r="D35" s="533" t="s">
        <v>707</v>
      </c>
      <c r="E35" s="148" t="s">
        <v>252</v>
      </c>
      <c r="F35" s="56" t="s">
        <v>252</v>
      </c>
      <c r="G35" s="564" t="s">
        <v>180</v>
      </c>
      <c r="H35" s="563" t="s">
        <v>180</v>
      </c>
      <c r="I35" s="3859" t="s">
        <v>180</v>
      </c>
      <c r="J35" s="3859"/>
      <c r="K35" s="3859"/>
      <c r="L35" s="3893"/>
      <c r="M35" s="3859" t="s">
        <v>180</v>
      </c>
      <c r="N35" s="3859"/>
      <c r="O35" s="3859"/>
      <c r="P35" s="3859"/>
      <c r="Q35" s="3923" t="s">
        <v>180</v>
      </c>
      <c r="R35" s="3859"/>
      <c r="S35" s="3859"/>
      <c r="T35" s="3893"/>
    </row>
    <row r="36" spans="1:20" ht="25.9" customHeight="1" thickBot="1">
      <c r="A36" s="3865"/>
      <c r="B36" s="3870"/>
      <c r="C36" s="3878"/>
      <c r="D36" s="160" t="s">
        <v>708</v>
      </c>
      <c r="E36" s="148" t="s">
        <v>252</v>
      </c>
      <c r="F36" s="56" t="s">
        <v>252</v>
      </c>
      <c r="G36" s="564" t="s">
        <v>180</v>
      </c>
      <c r="H36" s="563" t="s">
        <v>180</v>
      </c>
      <c r="I36" s="3859" t="s">
        <v>180</v>
      </c>
      <c r="J36" s="3859"/>
      <c r="K36" s="3859"/>
      <c r="L36" s="3893"/>
      <c r="M36" s="3859" t="s">
        <v>180</v>
      </c>
      <c r="N36" s="3859"/>
      <c r="O36" s="3859"/>
      <c r="P36" s="3859"/>
      <c r="Q36" s="3923" t="s">
        <v>180</v>
      </c>
      <c r="R36" s="3859"/>
      <c r="S36" s="3859"/>
      <c r="T36" s="3893"/>
    </row>
    <row r="37" spans="1:20" ht="53.45" thickBot="1">
      <c r="A37" s="3865"/>
      <c r="B37" s="3871"/>
      <c r="C37" s="3874"/>
      <c r="D37" s="149" t="s">
        <v>709</v>
      </c>
      <c r="E37" s="149" t="s">
        <v>252</v>
      </c>
      <c r="F37" s="151" t="s">
        <v>252</v>
      </c>
      <c r="G37" s="162" t="s">
        <v>710</v>
      </c>
      <c r="H37" s="162" t="s">
        <v>710</v>
      </c>
      <c r="I37" s="3860" t="s">
        <v>710</v>
      </c>
      <c r="J37" s="3860"/>
      <c r="K37" s="3860"/>
      <c r="L37" s="3898"/>
      <c r="M37" s="3860" t="s">
        <v>710</v>
      </c>
      <c r="N37" s="3860"/>
      <c r="O37" s="3860"/>
      <c r="P37" s="3860"/>
      <c r="Q37" s="3897" t="s">
        <v>710</v>
      </c>
      <c r="R37" s="3860"/>
      <c r="S37" s="3860"/>
      <c r="T37" s="3898"/>
    </row>
    <row r="38" spans="1:20" ht="12.75" customHeight="1">
      <c r="A38" s="3865"/>
      <c r="B38" s="3869" t="s">
        <v>711</v>
      </c>
      <c r="C38" s="3875" t="s">
        <v>712</v>
      </c>
      <c r="D38" s="147" t="s">
        <v>640</v>
      </c>
      <c r="E38" s="157"/>
      <c r="F38" s="157"/>
      <c r="G38" s="552"/>
      <c r="H38" s="553"/>
      <c r="I38" s="3902"/>
      <c r="J38" s="3903"/>
      <c r="K38" s="3903"/>
      <c r="L38" s="3904"/>
      <c r="M38" s="3902"/>
      <c r="N38" s="3903"/>
      <c r="O38" s="3903"/>
      <c r="P38" s="3903"/>
      <c r="Q38" s="3902"/>
      <c r="R38" s="3903"/>
      <c r="S38" s="3903"/>
      <c r="T38" s="3904"/>
    </row>
    <row r="39" spans="1:20" ht="14.65" customHeight="1" thickBot="1">
      <c r="A39" s="3865"/>
      <c r="B39" s="3870"/>
      <c r="C39" s="3876"/>
      <c r="D39" s="148" t="s">
        <v>713</v>
      </c>
      <c r="E39" s="157"/>
      <c r="F39" s="157"/>
      <c r="G39" s="552"/>
      <c r="I39" s="503" t="s">
        <v>183</v>
      </c>
      <c r="J39" s="541" t="s">
        <v>483</v>
      </c>
      <c r="K39" s="542" t="s">
        <v>484</v>
      </c>
      <c r="L39" s="543" t="s">
        <v>485</v>
      </c>
      <c r="M39" s="503" t="s">
        <v>183</v>
      </c>
      <c r="N39" s="541" t="s">
        <v>483</v>
      </c>
      <c r="O39" s="542" t="s">
        <v>484</v>
      </c>
      <c r="P39" s="541" t="s">
        <v>485</v>
      </c>
      <c r="Q39" s="503" t="s">
        <v>183</v>
      </c>
      <c r="R39" s="541" t="s">
        <v>483</v>
      </c>
      <c r="S39" s="542" t="s">
        <v>484</v>
      </c>
      <c r="T39" s="543" t="s">
        <v>485</v>
      </c>
    </row>
    <row r="40" spans="1:20" ht="26.45">
      <c r="A40" s="3865"/>
      <c r="B40" s="3870"/>
      <c r="C40" s="3876"/>
      <c r="D40" s="915" t="s">
        <v>714</v>
      </c>
      <c r="E40" s="148" t="s">
        <v>252</v>
      </c>
      <c r="F40" s="148" t="s">
        <v>252</v>
      </c>
      <c r="G40" s="153">
        <v>0</v>
      </c>
      <c r="H40" s="502">
        <v>0</v>
      </c>
      <c r="I40" s="530">
        <f>SUM(J40:L40)</f>
        <v>0</v>
      </c>
      <c r="J40" s="642">
        <v>0</v>
      </c>
      <c r="K40" s="648">
        <v>0</v>
      </c>
      <c r="L40" s="649">
        <v>0</v>
      </c>
      <c r="M40" s="530">
        <v>0</v>
      </c>
      <c r="N40" s="642">
        <v>0</v>
      </c>
      <c r="O40" s="648">
        <v>0</v>
      </c>
      <c r="P40" s="642">
        <v>0</v>
      </c>
      <c r="Q40" s="530">
        <v>0</v>
      </c>
      <c r="R40" s="642">
        <v>0</v>
      </c>
      <c r="S40" s="648">
        <v>0</v>
      </c>
      <c r="T40" s="649">
        <v>0</v>
      </c>
    </row>
    <row r="41" spans="1:20" ht="26.45">
      <c r="A41" s="3865"/>
      <c r="B41" s="3870"/>
      <c r="C41" s="3876"/>
      <c r="D41" s="916" t="s">
        <v>715</v>
      </c>
      <c r="E41" s="148" t="s">
        <v>252</v>
      </c>
      <c r="F41" s="56" t="s">
        <v>252</v>
      </c>
      <c r="G41" s="569">
        <v>0</v>
      </c>
      <c r="H41" s="536">
        <v>0</v>
      </c>
      <c r="I41" s="707">
        <f t="shared" ref="I41:I42" si="0">SUM(J41:L41)</f>
        <v>0</v>
      </c>
      <c r="J41" s="643">
        <v>0</v>
      </c>
      <c r="K41" s="644">
        <v>0</v>
      </c>
      <c r="L41" s="643">
        <v>0</v>
      </c>
      <c r="M41" s="707">
        <v>0</v>
      </c>
      <c r="N41" s="643">
        <v>0</v>
      </c>
      <c r="O41" s="644">
        <v>0</v>
      </c>
      <c r="P41" s="644">
        <v>0</v>
      </c>
      <c r="Q41" s="707">
        <v>0</v>
      </c>
      <c r="R41" s="643">
        <v>0</v>
      </c>
      <c r="S41" s="644">
        <v>0</v>
      </c>
      <c r="T41" s="643">
        <v>0</v>
      </c>
    </row>
    <row r="42" spans="1:20" ht="39.6">
      <c r="A42" s="3865"/>
      <c r="B42" s="3870"/>
      <c r="C42" s="3876"/>
      <c r="D42" s="916" t="s">
        <v>716</v>
      </c>
      <c r="E42" s="148" t="s">
        <v>252</v>
      </c>
      <c r="F42" s="56" t="s">
        <v>252</v>
      </c>
      <c r="G42" s="538">
        <v>3</v>
      </c>
      <c r="H42" s="568">
        <v>3</v>
      </c>
      <c r="I42" s="708">
        <f t="shared" si="0"/>
        <v>7</v>
      </c>
      <c r="J42" s="643">
        <v>2</v>
      </c>
      <c r="K42" s="644">
        <v>5</v>
      </c>
      <c r="L42" s="646">
        <v>0</v>
      </c>
      <c r="M42" s="708">
        <v>18</v>
      </c>
      <c r="N42" s="643">
        <v>4</v>
      </c>
      <c r="O42" s="644">
        <v>10</v>
      </c>
      <c r="P42" s="645">
        <v>4</v>
      </c>
      <c r="Q42" s="708">
        <v>16</v>
      </c>
      <c r="R42" s="643">
        <v>6</v>
      </c>
      <c r="S42" s="644">
        <v>8</v>
      </c>
      <c r="T42" s="646">
        <v>2</v>
      </c>
    </row>
    <row r="43" spans="1:20" ht="39.6">
      <c r="A43" s="3865"/>
      <c r="B43" s="3870"/>
      <c r="C43" s="3876"/>
      <c r="D43" s="917" t="s">
        <v>717</v>
      </c>
      <c r="E43" s="148" t="s">
        <v>252</v>
      </c>
      <c r="F43" s="148" t="s">
        <v>252</v>
      </c>
      <c r="G43" s="153">
        <v>0.03</v>
      </c>
      <c r="H43" s="502">
        <v>0.03</v>
      </c>
      <c r="I43" s="709">
        <v>7.0000000000000007E-2</v>
      </c>
      <c r="J43" s="644">
        <v>0.17</v>
      </c>
      <c r="K43" s="644">
        <v>0.12</v>
      </c>
      <c r="L43" s="650">
        <v>0</v>
      </c>
      <c r="M43" s="709">
        <v>0.12</v>
      </c>
      <c r="N43" s="644">
        <v>0.31</v>
      </c>
      <c r="O43" s="644">
        <v>0.16</v>
      </c>
      <c r="P43" s="2874">
        <v>0.1</v>
      </c>
      <c r="Q43" s="709">
        <v>0.1</v>
      </c>
      <c r="R43" s="644">
        <v>0.43</v>
      </c>
      <c r="S43" s="644">
        <v>0.12</v>
      </c>
      <c r="T43" s="650">
        <v>0.05</v>
      </c>
    </row>
    <row r="44" spans="1:20" ht="26.45">
      <c r="A44" s="3865"/>
      <c r="B44" s="3870"/>
      <c r="C44" s="3876"/>
      <c r="D44" s="917" t="s">
        <v>718</v>
      </c>
      <c r="E44" s="148" t="s">
        <v>252</v>
      </c>
      <c r="F44" s="56" t="s">
        <v>252</v>
      </c>
      <c r="G44" s="569">
        <v>4</v>
      </c>
      <c r="H44" s="536">
        <v>4</v>
      </c>
      <c r="I44" s="710">
        <v>17</v>
      </c>
      <c r="J44" s="645">
        <v>1</v>
      </c>
      <c r="K44" s="645">
        <v>15</v>
      </c>
      <c r="L44" s="643">
        <v>1</v>
      </c>
      <c r="M44" s="710">
        <v>19</v>
      </c>
      <c r="N44" s="645">
        <v>2</v>
      </c>
      <c r="O44" s="645">
        <v>10</v>
      </c>
      <c r="P44" s="644">
        <v>7</v>
      </c>
      <c r="Q44" s="710">
        <v>32</v>
      </c>
      <c r="R44" s="645">
        <v>4</v>
      </c>
      <c r="S44" s="645">
        <v>17</v>
      </c>
      <c r="T44" s="643">
        <v>11</v>
      </c>
    </row>
    <row r="45" spans="1:20" ht="26.45">
      <c r="A45" s="3865"/>
      <c r="B45" s="3870"/>
      <c r="C45" s="3876"/>
      <c r="D45" s="916" t="s">
        <v>719</v>
      </c>
      <c r="E45" s="148" t="s">
        <v>252</v>
      </c>
      <c r="F45" s="56" t="s">
        <v>252</v>
      </c>
      <c r="G45" s="569">
        <v>0.05</v>
      </c>
      <c r="H45" s="568">
        <v>0.05</v>
      </c>
      <c r="I45" s="711">
        <f>SUM(J45:L45)/3</f>
        <v>0.13666666666666669</v>
      </c>
      <c r="J45" s="646">
        <v>0.09</v>
      </c>
      <c r="K45" s="645">
        <v>0.28999999999999998</v>
      </c>
      <c r="L45" s="646">
        <v>0.03</v>
      </c>
      <c r="M45" s="711">
        <v>0.13</v>
      </c>
      <c r="N45" s="646">
        <v>0.15</v>
      </c>
      <c r="O45" s="645">
        <v>0.13</v>
      </c>
      <c r="P45" s="645">
        <v>0.18</v>
      </c>
      <c r="Q45" s="711">
        <v>0.21</v>
      </c>
      <c r="R45" s="646">
        <v>0.28999999999999998</v>
      </c>
      <c r="S45" s="645">
        <v>0.25</v>
      </c>
      <c r="T45" s="646">
        <v>0.25</v>
      </c>
    </row>
    <row r="46" spans="1:20" ht="66">
      <c r="A46" s="3865"/>
      <c r="B46" s="3870"/>
      <c r="C46" s="3876"/>
      <c r="D46" s="916" t="s">
        <v>720</v>
      </c>
      <c r="E46" s="148" t="s">
        <v>252</v>
      </c>
      <c r="F46" s="56" t="s">
        <v>252</v>
      </c>
      <c r="G46" s="538" t="s">
        <v>721</v>
      </c>
      <c r="H46" s="568" t="s">
        <v>721</v>
      </c>
      <c r="I46" s="712" t="s">
        <v>722</v>
      </c>
      <c r="J46" s="641" t="s">
        <v>723</v>
      </c>
      <c r="K46" s="641" t="s">
        <v>724</v>
      </c>
      <c r="L46" s="641" t="s">
        <v>725</v>
      </c>
      <c r="M46" s="712" t="s">
        <v>726</v>
      </c>
      <c r="N46" s="2872" t="s">
        <v>726</v>
      </c>
      <c r="O46" s="2873" t="s">
        <v>726</v>
      </c>
      <c r="P46" s="2875" t="s">
        <v>727</v>
      </c>
      <c r="Q46" s="2884" t="s">
        <v>726</v>
      </c>
      <c r="R46" s="2873" t="s">
        <v>726</v>
      </c>
      <c r="S46" s="2873" t="s">
        <v>726</v>
      </c>
      <c r="T46" s="2885" t="s">
        <v>726</v>
      </c>
    </row>
    <row r="47" spans="1:20" ht="14.65" customHeight="1">
      <c r="A47" s="3865"/>
      <c r="B47" s="3870"/>
      <c r="C47" s="3876"/>
      <c r="D47" s="918" t="s">
        <v>728</v>
      </c>
      <c r="E47" s="148" t="s">
        <v>252</v>
      </c>
      <c r="F47" s="56" t="s">
        <v>252</v>
      </c>
      <c r="G47" s="562">
        <v>6636695</v>
      </c>
      <c r="H47" s="526">
        <v>6636696</v>
      </c>
      <c r="I47" s="713">
        <v>9632940</v>
      </c>
      <c r="J47" s="537">
        <v>1169737</v>
      </c>
      <c r="K47" s="537">
        <v>5116985</v>
      </c>
      <c r="L47" s="652">
        <v>3346218</v>
      </c>
      <c r="M47" s="713">
        <v>3025693</v>
      </c>
      <c r="N47" s="713">
        <v>1306887</v>
      </c>
      <c r="O47" s="537">
        <v>6306229</v>
      </c>
      <c r="P47" s="2876">
        <v>3852416</v>
      </c>
      <c r="Q47" s="713">
        <v>3079920.0728749954</v>
      </c>
      <c r="R47" s="713">
        <v>1382332.3540750041</v>
      </c>
      <c r="S47" s="537">
        <v>6803707.4264500644</v>
      </c>
      <c r="T47" s="652">
        <v>4300373.0131250247</v>
      </c>
    </row>
    <row r="48" spans="1:20" ht="14.65" customHeight="1">
      <c r="A48" s="3865"/>
      <c r="B48" s="3870"/>
      <c r="C48" s="3876"/>
      <c r="D48" s="148" t="s">
        <v>729</v>
      </c>
      <c r="E48" s="148"/>
      <c r="F48" s="56"/>
      <c r="G48" s="526"/>
      <c r="H48" s="526"/>
      <c r="I48" s="3038"/>
      <c r="J48" s="3039"/>
      <c r="K48" s="3039"/>
      <c r="L48" s="3040"/>
      <c r="M48" s="3038"/>
      <c r="N48" s="3038"/>
      <c r="O48" s="3039"/>
      <c r="P48" s="3039"/>
      <c r="Q48" s="3041">
        <v>660</v>
      </c>
      <c r="R48" s="3038"/>
      <c r="S48" s="3039"/>
      <c r="T48" s="3040"/>
    </row>
    <row r="49" spans="1:20" ht="39.6">
      <c r="A49" s="3865"/>
      <c r="B49" s="3870"/>
      <c r="C49" s="3876"/>
      <c r="D49" s="148" t="s">
        <v>730</v>
      </c>
      <c r="E49" s="148" t="s">
        <v>252</v>
      </c>
      <c r="F49" s="148" t="s">
        <v>252</v>
      </c>
      <c r="G49" s="502" t="s">
        <v>180</v>
      </c>
      <c r="H49" s="496" t="s">
        <v>180</v>
      </c>
      <c r="I49" s="727"/>
      <c r="J49" s="727"/>
      <c r="K49" s="727"/>
      <c r="L49" s="728"/>
      <c r="M49" s="727"/>
      <c r="N49" s="727"/>
      <c r="O49" s="727"/>
      <c r="P49" s="727"/>
      <c r="Q49" s="2886"/>
      <c r="R49" s="727"/>
      <c r="S49" s="727"/>
      <c r="T49" s="728"/>
    </row>
    <row r="50" spans="1:20" ht="26.45">
      <c r="A50" s="3865"/>
      <c r="B50" s="3870"/>
      <c r="C50" s="3876"/>
      <c r="D50" s="915" t="s">
        <v>731</v>
      </c>
      <c r="E50" s="148" t="s">
        <v>252</v>
      </c>
      <c r="F50" s="56" t="s">
        <v>252</v>
      </c>
      <c r="G50" s="568">
        <v>0</v>
      </c>
      <c r="H50" s="502">
        <v>0</v>
      </c>
      <c r="I50" s="729">
        <f>SUM(J50:L50)</f>
        <v>0</v>
      </c>
      <c r="J50" s="647">
        <v>0</v>
      </c>
      <c r="K50" s="647">
        <v>0</v>
      </c>
      <c r="L50" s="651">
        <v>0</v>
      </c>
      <c r="M50" s="729">
        <v>0</v>
      </c>
      <c r="N50" s="647">
        <v>0</v>
      </c>
      <c r="O50" s="647">
        <v>0</v>
      </c>
      <c r="P50" s="2877">
        <v>0</v>
      </c>
      <c r="Q50" s="729">
        <v>0</v>
      </c>
      <c r="R50" s="647">
        <v>0</v>
      </c>
      <c r="S50" s="647">
        <v>0</v>
      </c>
      <c r="T50" s="651">
        <v>0</v>
      </c>
    </row>
    <row r="51" spans="1:20" ht="39.6">
      <c r="A51" s="3865"/>
      <c r="B51" s="3870"/>
      <c r="C51" s="3876"/>
      <c r="D51" s="916" t="s">
        <v>732</v>
      </c>
      <c r="E51" s="148" t="s">
        <v>252</v>
      </c>
      <c r="F51" s="148" t="s">
        <v>252</v>
      </c>
      <c r="G51" s="502">
        <v>0</v>
      </c>
      <c r="H51" s="567">
        <v>0</v>
      </c>
      <c r="I51" s="729">
        <f>SUM(J51:L51)</f>
        <v>4</v>
      </c>
      <c r="J51" s="646">
        <v>0</v>
      </c>
      <c r="K51" s="650">
        <v>3</v>
      </c>
      <c r="L51" s="649">
        <v>1</v>
      </c>
      <c r="M51" s="729">
        <v>1</v>
      </c>
      <c r="N51" s="646">
        <v>1</v>
      </c>
      <c r="O51" s="650">
        <v>0</v>
      </c>
      <c r="P51" s="642">
        <v>0</v>
      </c>
      <c r="Q51" s="729">
        <v>1</v>
      </c>
      <c r="R51" s="646">
        <v>0</v>
      </c>
      <c r="S51" s="650">
        <v>1</v>
      </c>
      <c r="T51" s="649">
        <v>0</v>
      </c>
    </row>
    <row r="52" spans="1:20" ht="39.6">
      <c r="A52" s="3865"/>
      <c r="B52" s="3870"/>
      <c r="C52" s="3876"/>
      <c r="D52" s="916" t="s">
        <v>733</v>
      </c>
      <c r="E52" s="148" t="s">
        <v>252</v>
      </c>
      <c r="F52" s="56" t="s">
        <v>252</v>
      </c>
      <c r="G52" s="538" t="s">
        <v>734</v>
      </c>
      <c r="H52" s="578" t="s">
        <v>734</v>
      </c>
      <c r="I52" s="3852" t="s">
        <v>735</v>
      </c>
      <c r="J52" s="3853"/>
      <c r="K52" s="3840"/>
      <c r="L52" s="3851"/>
      <c r="M52" s="3852" t="s">
        <v>735</v>
      </c>
      <c r="N52" s="3853"/>
      <c r="O52" s="3840"/>
      <c r="P52" s="3840"/>
      <c r="Q52" s="3852" t="s">
        <v>735</v>
      </c>
      <c r="R52" s="3853"/>
      <c r="S52" s="3840"/>
      <c r="T52" s="3851"/>
    </row>
    <row r="53" spans="1:20" ht="39.6">
      <c r="A53" s="3865"/>
      <c r="B53" s="3870"/>
      <c r="C53" s="3876"/>
      <c r="D53" s="916" t="s">
        <v>720</v>
      </c>
      <c r="E53" s="148" t="s">
        <v>252</v>
      </c>
      <c r="F53" s="148" t="s">
        <v>252</v>
      </c>
      <c r="G53" s="502" t="s">
        <v>734</v>
      </c>
      <c r="H53" s="536" t="s">
        <v>734</v>
      </c>
      <c r="I53" s="3852" t="s">
        <v>736</v>
      </c>
      <c r="J53" s="3840"/>
      <c r="K53" s="3840"/>
      <c r="L53" s="3851"/>
      <c r="M53" s="3852" t="s">
        <v>736</v>
      </c>
      <c r="N53" s="3840"/>
      <c r="O53" s="3840"/>
      <c r="P53" s="3840"/>
      <c r="Q53" s="3852" t="s">
        <v>736</v>
      </c>
      <c r="R53" s="3840"/>
      <c r="S53" s="3840"/>
      <c r="T53" s="3851"/>
    </row>
    <row r="54" spans="1:20" ht="38.65" customHeight="1" thickBot="1">
      <c r="A54" s="3865"/>
      <c r="B54" s="3870"/>
      <c r="C54" s="3876"/>
      <c r="D54" s="918" t="s">
        <v>728</v>
      </c>
      <c r="E54" s="148" t="s">
        <v>252</v>
      </c>
      <c r="F54" s="56" t="s">
        <v>252</v>
      </c>
      <c r="G54" s="571" t="s">
        <v>734</v>
      </c>
      <c r="H54" s="579" t="s">
        <v>734</v>
      </c>
      <c r="I54" s="3843" t="s">
        <v>737</v>
      </c>
      <c r="J54" s="3844"/>
      <c r="K54" s="3844"/>
      <c r="L54" s="3848"/>
      <c r="M54" s="3843" t="s">
        <v>737</v>
      </c>
      <c r="N54" s="3844"/>
      <c r="O54" s="3844"/>
      <c r="P54" s="3844"/>
      <c r="Q54" s="3843" t="s">
        <v>737</v>
      </c>
      <c r="R54" s="3844"/>
      <c r="S54" s="3844"/>
      <c r="T54" s="3848"/>
    </row>
    <row r="55" spans="1:20" ht="12.75" customHeight="1">
      <c r="A55" s="3865"/>
      <c r="B55" s="3870"/>
      <c r="C55" s="3876"/>
      <c r="D55" s="147" t="s">
        <v>738</v>
      </c>
      <c r="E55" s="148" t="s">
        <v>252</v>
      </c>
      <c r="F55" s="148" t="s">
        <v>252</v>
      </c>
      <c r="G55" s="552"/>
      <c r="H55" s="553"/>
      <c r="I55" s="3854"/>
      <c r="J55" s="3855"/>
      <c r="K55" s="3855"/>
      <c r="L55" s="3896"/>
      <c r="M55" s="3854"/>
      <c r="N55" s="3855"/>
      <c r="O55" s="3855"/>
      <c r="P55" s="3855"/>
      <c r="Q55" s="3854"/>
      <c r="R55" s="3855"/>
      <c r="S55" s="3855"/>
      <c r="T55" s="3896"/>
    </row>
    <row r="56" spans="1:20" ht="38.25" customHeight="1">
      <c r="A56" s="3865"/>
      <c r="B56" s="3870"/>
      <c r="C56" s="3876"/>
      <c r="D56" s="915" t="s">
        <v>739</v>
      </c>
      <c r="E56" s="148" t="s">
        <v>252</v>
      </c>
      <c r="F56" s="148" t="s">
        <v>252</v>
      </c>
      <c r="G56" s="502" t="s">
        <v>740</v>
      </c>
      <c r="H56" s="568" t="s">
        <v>740</v>
      </c>
      <c r="I56" s="3840" t="s">
        <v>740</v>
      </c>
      <c r="J56" s="3840"/>
      <c r="K56" s="3840"/>
      <c r="L56" s="3851"/>
      <c r="M56" s="3840" t="s">
        <v>740</v>
      </c>
      <c r="N56" s="3840"/>
      <c r="O56" s="3840"/>
      <c r="P56" s="3840"/>
      <c r="Q56" s="3852" t="s">
        <v>740</v>
      </c>
      <c r="R56" s="3840"/>
      <c r="S56" s="3840"/>
      <c r="T56" s="3851"/>
    </row>
    <row r="57" spans="1:20" ht="39.6">
      <c r="A57" s="3865"/>
      <c r="B57" s="3870"/>
      <c r="C57" s="3876"/>
      <c r="D57" s="916" t="s">
        <v>741</v>
      </c>
      <c r="E57" s="148" t="s">
        <v>252</v>
      </c>
      <c r="F57" s="56" t="s">
        <v>252</v>
      </c>
      <c r="G57" s="536" t="s">
        <v>721</v>
      </c>
      <c r="H57" s="502" t="s">
        <v>721</v>
      </c>
      <c r="I57" s="3841" t="s">
        <v>742</v>
      </c>
      <c r="J57" s="3842"/>
      <c r="K57" s="3842"/>
      <c r="L57" s="3847"/>
      <c r="M57" s="3841" t="s">
        <v>742</v>
      </c>
      <c r="N57" s="3842"/>
      <c r="O57" s="3842"/>
      <c r="P57" s="3842"/>
      <c r="Q57" s="3841" t="s">
        <v>742</v>
      </c>
      <c r="R57" s="3842"/>
      <c r="S57" s="3842"/>
      <c r="T57" s="3847"/>
    </row>
    <row r="58" spans="1:20" ht="40.15" thickBot="1">
      <c r="A58" s="3865"/>
      <c r="B58" s="3870"/>
      <c r="C58" s="3876"/>
      <c r="D58" s="918" t="s">
        <v>743</v>
      </c>
      <c r="E58" s="148" t="s">
        <v>252</v>
      </c>
      <c r="F58" s="56" t="s">
        <v>252</v>
      </c>
      <c r="G58" s="523" t="s">
        <v>744</v>
      </c>
      <c r="H58" s="571" t="s">
        <v>744</v>
      </c>
      <c r="I58" s="3843" t="s">
        <v>744</v>
      </c>
      <c r="J58" s="3844"/>
      <c r="K58" s="3844"/>
      <c r="L58" s="3848"/>
      <c r="M58" s="3843" t="s">
        <v>744</v>
      </c>
      <c r="N58" s="3844"/>
      <c r="O58" s="3844"/>
      <c r="P58" s="3844"/>
      <c r="Q58" s="3843" t="s">
        <v>744</v>
      </c>
      <c r="R58" s="3844"/>
      <c r="S58" s="3844"/>
      <c r="T58" s="3848"/>
    </row>
    <row r="59" spans="1:20" ht="53.45" thickBot="1">
      <c r="A59" s="3865"/>
      <c r="B59" s="3870"/>
      <c r="C59" s="3876"/>
      <c r="D59" s="149" t="s">
        <v>745</v>
      </c>
      <c r="E59" s="148" t="s">
        <v>252</v>
      </c>
      <c r="F59" s="56" t="s">
        <v>252</v>
      </c>
      <c r="G59" s="523" t="s">
        <v>746</v>
      </c>
      <c r="H59" s="522"/>
      <c r="I59" s="3835" t="s">
        <v>747</v>
      </c>
      <c r="J59" s="3835"/>
      <c r="K59" s="3835"/>
      <c r="L59" s="3846"/>
      <c r="M59" s="3835" t="s">
        <v>747</v>
      </c>
      <c r="N59" s="3835"/>
      <c r="O59" s="3835"/>
      <c r="P59" s="3835"/>
      <c r="Q59" s="3834" t="s">
        <v>747</v>
      </c>
      <c r="R59" s="3835"/>
      <c r="S59" s="3835"/>
      <c r="T59" s="3846"/>
    </row>
    <row r="60" spans="1:20" ht="40.15" thickBot="1">
      <c r="A60" s="3865"/>
      <c r="B60" s="3870"/>
      <c r="C60" s="3876"/>
      <c r="D60" s="148" t="s">
        <v>748</v>
      </c>
      <c r="E60" s="148" t="s">
        <v>252</v>
      </c>
      <c r="F60" s="148" t="s">
        <v>252</v>
      </c>
      <c r="G60" s="526">
        <v>100000</v>
      </c>
      <c r="H60" s="562">
        <v>100001</v>
      </c>
      <c r="I60" s="3845">
        <v>100000</v>
      </c>
      <c r="J60" s="3845"/>
      <c r="K60" s="3845"/>
      <c r="L60" s="3849"/>
      <c r="M60" s="3845">
        <v>100000</v>
      </c>
      <c r="N60" s="3845"/>
      <c r="O60" s="3845"/>
      <c r="P60" s="3845"/>
      <c r="Q60" s="3924">
        <v>100000</v>
      </c>
      <c r="R60" s="3845"/>
      <c r="S60" s="3845"/>
      <c r="T60" s="3849"/>
    </row>
    <row r="61" spans="1:20" ht="40.15" thickBot="1">
      <c r="A61" s="3865"/>
      <c r="B61" s="3870"/>
      <c r="C61" s="3876"/>
      <c r="D61" s="147" t="s">
        <v>749</v>
      </c>
      <c r="E61" s="148" t="s">
        <v>252</v>
      </c>
      <c r="F61" s="56" t="s">
        <v>252</v>
      </c>
      <c r="G61" s="156" t="s">
        <v>750</v>
      </c>
      <c r="H61" s="502" t="s">
        <v>750</v>
      </c>
      <c r="I61" s="3834" t="s">
        <v>750</v>
      </c>
      <c r="J61" s="3835"/>
      <c r="K61" s="3835"/>
      <c r="L61" s="3846"/>
      <c r="M61" s="3834" t="s">
        <v>751</v>
      </c>
      <c r="N61" s="3835"/>
      <c r="O61" s="3835"/>
      <c r="P61" s="3835"/>
      <c r="Q61" s="3834" t="s">
        <v>751</v>
      </c>
      <c r="R61" s="3835"/>
      <c r="S61" s="3835"/>
      <c r="T61" s="3846"/>
    </row>
    <row r="62" spans="1:20" ht="153.4" customHeight="1" thickBot="1">
      <c r="A62" s="3865"/>
      <c r="B62" s="3871"/>
      <c r="C62" s="3877"/>
      <c r="D62" s="146" t="s">
        <v>752</v>
      </c>
      <c r="E62" s="149" t="s">
        <v>252</v>
      </c>
      <c r="F62" s="149" t="s">
        <v>252</v>
      </c>
      <c r="G62" s="527" t="s">
        <v>753</v>
      </c>
      <c r="H62" s="156" t="s">
        <v>753</v>
      </c>
      <c r="I62" s="3835" t="s">
        <v>754</v>
      </c>
      <c r="J62" s="3835"/>
      <c r="K62" s="3835"/>
      <c r="L62" s="3846"/>
      <c r="M62" s="3835" t="s">
        <v>755</v>
      </c>
      <c r="N62" s="3835"/>
      <c r="O62" s="3835"/>
      <c r="P62" s="3835"/>
      <c r="Q62" s="3834" t="s">
        <v>756</v>
      </c>
      <c r="R62" s="3835"/>
      <c r="S62" s="3835"/>
      <c r="T62" s="3846"/>
    </row>
    <row r="63" spans="1:20" ht="26.45">
      <c r="A63" s="3865"/>
      <c r="B63" s="3869" t="s">
        <v>757</v>
      </c>
      <c r="C63" s="3872" t="s">
        <v>758</v>
      </c>
      <c r="D63" s="148" t="s">
        <v>640</v>
      </c>
      <c r="E63" s="157" t="s">
        <v>252</v>
      </c>
      <c r="F63" s="157" t="s">
        <v>252</v>
      </c>
      <c r="G63" s="552"/>
      <c r="H63" s="553"/>
      <c r="I63" s="730"/>
      <c r="J63" s="731"/>
      <c r="K63" s="731"/>
      <c r="L63" s="732"/>
      <c r="M63" s="730"/>
      <c r="N63" s="731"/>
      <c r="O63" s="731"/>
      <c r="P63" s="731"/>
      <c r="Q63" s="730"/>
      <c r="R63" s="731"/>
      <c r="S63" s="731"/>
      <c r="T63" s="732"/>
    </row>
    <row r="64" spans="1:20">
      <c r="A64" s="3865"/>
      <c r="B64" s="3870"/>
      <c r="C64" s="3873"/>
      <c r="D64" s="148" t="s">
        <v>713</v>
      </c>
      <c r="E64" s="157" t="s">
        <v>252</v>
      </c>
      <c r="F64" s="157" t="s">
        <v>252</v>
      </c>
      <c r="G64" s="553"/>
      <c r="H64" s="554"/>
      <c r="I64" s="733" t="s">
        <v>183</v>
      </c>
      <c r="J64" s="733" t="s">
        <v>483</v>
      </c>
      <c r="K64" s="733" t="s">
        <v>484</v>
      </c>
      <c r="L64" s="733" t="s">
        <v>485</v>
      </c>
      <c r="M64" s="733" t="s">
        <v>183</v>
      </c>
      <c r="N64" s="733" t="s">
        <v>483</v>
      </c>
      <c r="O64" s="733" t="s">
        <v>484</v>
      </c>
      <c r="P64" s="2871" t="s">
        <v>485</v>
      </c>
      <c r="Q64" s="2887" t="s">
        <v>183</v>
      </c>
      <c r="R64" s="733" t="s">
        <v>483</v>
      </c>
      <c r="S64" s="733" t="s">
        <v>484</v>
      </c>
      <c r="T64" s="733" t="s">
        <v>485</v>
      </c>
    </row>
    <row r="65" spans="1:20" ht="26.45">
      <c r="A65" s="3865"/>
      <c r="B65" s="3870"/>
      <c r="C65" s="3873"/>
      <c r="D65" s="148" t="s">
        <v>759</v>
      </c>
      <c r="E65" s="148" t="s">
        <v>252</v>
      </c>
      <c r="F65" s="148" t="s">
        <v>252</v>
      </c>
      <c r="G65" s="502">
        <v>0</v>
      </c>
      <c r="H65" s="161">
        <v>0</v>
      </c>
      <c r="I65" s="700">
        <v>0</v>
      </c>
      <c r="J65" s="2925">
        <v>0</v>
      </c>
      <c r="K65" s="2925">
        <v>0</v>
      </c>
      <c r="L65" s="2925">
        <v>0</v>
      </c>
      <c r="M65" s="2925">
        <v>0</v>
      </c>
      <c r="N65" s="2925">
        <v>0</v>
      </c>
      <c r="O65" s="2925">
        <v>0</v>
      </c>
      <c r="P65" s="2926">
        <v>0</v>
      </c>
      <c r="Q65" s="2927">
        <v>0</v>
      </c>
      <c r="R65" s="2928">
        <v>0</v>
      </c>
      <c r="S65" s="2928">
        <v>0</v>
      </c>
      <c r="T65" s="2929">
        <v>0</v>
      </c>
    </row>
    <row r="66" spans="1:20" ht="26.45">
      <c r="A66" s="3865"/>
      <c r="B66" s="3870"/>
      <c r="C66" s="3878"/>
      <c r="D66" s="531" t="s">
        <v>760</v>
      </c>
      <c r="E66" s="148" t="s">
        <v>252</v>
      </c>
      <c r="F66" s="56" t="s">
        <v>252</v>
      </c>
      <c r="G66" s="536">
        <v>0</v>
      </c>
      <c r="H66" s="570">
        <v>0</v>
      </c>
      <c r="I66" s="700"/>
      <c r="J66" s="701"/>
      <c r="K66" s="702">
        <v>19</v>
      </c>
      <c r="L66" s="703">
        <v>23</v>
      </c>
      <c r="M66" s="2990"/>
      <c r="N66" s="2991"/>
      <c r="O66" s="2992"/>
      <c r="P66" s="2993"/>
      <c r="Q66" s="2930">
        <v>77</v>
      </c>
      <c r="R66" s="2931" t="s">
        <v>761</v>
      </c>
      <c r="S66" s="2931" t="s">
        <v>761</v>
      </c>
      <c r="T66" s="2931" t="s">
        <v>761</v>
      </c>
    </row>
    <row r="67" spans="1:20" ht="23.25" customHeight="1">
      <c r="A67" s="3865"/>
      <c r="B67" s="3870"/>
      <c r="C67" s="3878"/>
      <c r="D67" s="533" t="s">
        <v>762</v>
      </c>
      <c r="E67" s="148" t="s">
        <v>252</v>
      </c>
      <c r="F67" s="56" t="s">
        <v>252</v>
      </c>
      <c r="G67" s="558" t="s">
        <v>180</v>
      </c>
      <c r="H67" s="573" t="s">
        <v>180</v>
      </c>
      <c r="I67" s="704">
        <v>0</v>
      </c>
      <c r="J67" s="705"/>
      <c r="K67" s="705" t="s">
        <v>763</v>
      </c>
      <c r="L67" s="705" t="s">
        <v>763</v>
      </c>
      <c r="M67" s="2994"/>
      <c r="N67" s="2995"/>
      <c r="O67" s="2995"/>
      <c r="P67" s="2996"/>
      <c r="Q67" s="2932" t="s">
        <v>764</v>
      </c>
      <c r="R67" s="2932" t="s">
        <v>764</v>
      </c>
      <c r="S67" s="2932" t="s">
        <v>764</v>
      </c>
      <c r="T67" s="2932" t="s">
        <v>764</v>
      </c>
    </row>
    <row r="68" spans="1:20" ht="39.6">
      <c r="A68" s="3865"/>
      <c r="B68" s="3870"/>
      <c r="C68" s="3878"/>
      <c r="D68" s="497" t="s">
        <v>730</v>
      </c>
      <c r="E68" s="148" t="s">
        <v>252</v>
      </c>
      <c r="F68" s="56" t="s">
        <v>252</v>
      </c>
      <c r="G68" s="540" t="s">
        <v>765</v>
      </c>
      <c r="H68" s="574" t="s">
        <v>765</v>
      </c>
      <c r="I68" s="734"/>
      <c r="J68" s="735"/>
      <c r="K68" s="545"/>
      <c r="L68" s="544"/>
      <c r="M68" s="734"/>
      <c r="N68" s="735"/>
      <c r="O68" s="545"/>
      <c r="P68" s="2878"/>
      <c r="Q68" s="554"/>
      <c r="R68" s="735"/>
      <c r="S68" s="545"/>
      <c r="T68" s="2916"/>
    </row>
    <row r="69" spans="1:20" ht="26.45">
      <c r="A69" s="3865"/>
      <c r="B69" s="3870"/>
      <c r="C69" s="3878"/>
      <c r="D69" s="532" t="s">
        <v>759</v>
      </c>
      <c r="E69" s="148" t="s">
        <v>252</v>
      </c>
      <c r="F69" s="56" t="s">
        <v>252</v>
      </c>
      <c r="G69" s="573">
        <v>0</v>
      </c>
      <c r="H69" s="164">
        <v>1</v>
      </c>
      <c r="I69" s="706" t="s">
        <v>180</v>
      </c>
      <c r="J69" s="706" t="s">
        <v>180</v>
      </c>
      <c r="K69" s="706" t="s">
        <v>180</v>
      </c>
      <c r="L69" s="706" t="s">
        <v>180</v>
      </c>
      <c r="M69" s="706" t="s">
        <v>180</v>
      </c>
      <c r="N69" s="706" t="s">
        <v>180</v>
      </c>
      <c r="O69" s="706" t="s">
        <v>180</v>
      </c>
      <c r="P69" s="2879" t="s">
        <v>180</v>
      </c>
      <c r="Q69" s="2917" t="s">
        <v>180</v>
      </c>
      <c r="R69" s="2918" t="s">
        <v>180</v>
      </c>
      <c r="S69" s="2918" t="s">
        <v>180</v>
      </c>
      <c r="T69" s="2919" t="s">
        <v>180</v>
      </c>
    </row>
    <row r="70" spans="1:20" ht="26.45">
      <c r="A70" s="3865"/>
      <c r="B70" s="3870"/>
      <c r="C70" s="3878"/>
      <c r="D70" s="534" t="s">
        <v>760</v>
      </c>
      <c r="E70" s="148" t="s">
        <v>252</v>
      </c>
      <c r="F70" s="56" t="s">
        <v>252</v>
      </c>
      <c r="G70" s="575" t="s">
        <v>180</v>
      </c>
      <c r="H70" s="576" t="s">
        <v>180</v>
      </c>
      <c r="I70" s="706" t="s">
        <v>180</v>
      </c>
      <c r="J70" s="706" t="s">
        <v>180</v>
      </c>
      <c r="K70" s="706" t="s">
        <v>180</v>
      </c>
      <c r="L70" s="706" t="s">
        <v>180</v>
      </c>
      <c r="M70" s="706" t="s">
        <v>180</v>
      </c>
      <c r="N70" s="706" t="s">
        <v>180</v>
      </c>
      <c r="O70" s="706" t="s">
        <v>180</v>
      </c>
      <c r="P70" s="2879" t="s">
        <v>180</v>
      </c>
      <c r="Q70" s="2920" t="s">
        <v>180</v>
      </c>
      <c r="R70" s="2915" t="s">
        <v>180</v>
      </c>
      <c r="S70" s="2915" t="s">
        <v>180</v>
      </c>
      <c r="T70" s="2921" t="s">
        <v>180</v>
      </c>
    </row>
    <row r="71" spans="1:20" ht="27" thickBot="1">
      <c r="A71" s="3865"/>
      <c r="B71" s="3870"/>
      <c r="C71" s="3873"/>
      <c r="D71" s="148" t="s">
        <v>762</v>
      </c>
      <c r="E71" s="148" t="s">
        <v>252</v>
      </c>
      <c r="F71" s="56" t="s">
        <v>252</v>
      </c>
      <c r="G71" s="540" t="s">
        <v>180</v>
      </c>
      <c r="H71" s="572" t="s">
        <v>180</v>
      </c>
      <c r="I71" s="706" t="s">
        <v>180</v>
      </c>
      <c r="J71" s="706" t="s">
        <v>180</v>
      </c>
      <c r="K71" s="706" t="s">
        <v>180</v>
      </c>
      <c r="L71" s="706" t="s">
        <v>180</v>
      </c>
      <c r="M71" s="706" t="s">
        <v>180</v>
      </c>
      <c r="N71" s="706" t="s">
        <v>180</v>
      </c>
      <c r="O71" s="706" t="s">
        <v>180</v>
      </c>
      <c r="P71" s="2879" t="s">
        <v>180</v>
      </c>
      <c r="Q71" s="2922" t="s">
        <v>180</v>
      </c>
      <c r="R71" s="2923" t="s">
        <v>180</v>
      </c>
      <c r="S71" s="2923" t="s">
        <v>180</v>
      </c>
      <c r="T71" s="2924" t="s">
        <v>180</v>
      </c>
    </row>
    <row r="72" spans="1:20" ht="26.45">
      <c r="A72" s="3865"/>
      <c r="B72" s="3870"/>
      <c r="C72" s="3878"/>
      <c r="D72" s="159" t="s">
        <v>766</v>
      </c>
      <c r="E72" s="148" t="s">
        <v>252</v>
      </c>
      <c r="F72" s="56" t="s">
        <v>252</v>
      </c>
      <c r="G72" s="574" t="s">
        <v>180</v>
      </c>
      <c r="H72" s="164" t="s">
        <v>180</v>
      </c>
      <c r="I72" s="560"/>
      <c r="J72" s="726"/>
      <c r="K72" s="725"/>
      <c r="L72" s="736"/>
      <c r="M72" s="560"/>
      <c r="N72" s="726"/>
      <c r="O72" s="725"/>
      <c r="P72" s="2880"/>
      <c r="Q72" s="2888"/>
      <c r="R72" s="735"/>
      <c r="S72" s="545"/>
      <c r="T72" s="544"/>
    </row>
    <row r="73" spans="1:20" ht="12.75" customHeight="1" thickBot="1">
      <c r="A73" s="3865"/>
      <c r="B73" s="3870"/>
      <c r="C73" s="3878"/>
      <c r="D73" s="531" t="s">
        <v>739</v>
      </c>
      <c r="E73" s="148" t="s">
        <v>252</v>
      </c>
      <c r="F73" s="148" t="s">
        <v>252</v>
      </c>
      <c r="G73" s="529" t="s">
        <v>746</v>
      </c>
      <c r="H73" s="575" t="s">
        <v>746</v>
      </c>
      <c r="I73" s="3836" t="s">
        <v>767</v>
      </c>
      <c r="J73" s="3837"/>
      <c r="K73" s="3837"/>
      <c r="L73" s="3850"/>
      <c r="M73" s="3836" t="s">
        <v>767</v>
      </c>
      <c r="N73" s="3837"/>
      <c r="O73" s="3837"/>
      <c r="P73" s="3837"/>
      <c r="Q73" s="3925" t="s">
        <v>767</v>
      </c>
      <c r="R73" s="3926"/>
      <c r="S73" s="3926"/>
      <c r="T73" s="3926"/>
    </row>
    <row r="74" spans="1:20" ht="40.15" thickBot="1">
      <c r="A74" s="3865"/>
      <c r="B74" s="3870"/>
      <c r="C74" s="3878"/>
      <c r="D74" s="532" t="s">
        <v>768</v>
      </c>
      <c r="E74" s="148" t="s">
        <v>252</v>
      </c>
      <c r="F74" s="56" t="s">
        <v>252</v>
      </c>
      <c r="G74" s="573" t="s">
        <v>746</v>
      </c>
      <c r="H74" s="529" t="s">
        <v>746</v>
      </c>
      <c r="I74" s="716" t="s">
        <v>746</v>
      </c>
      <c r="J74" s="716" t="s">
        <v>746</v>
      </c>
      <c r="K74" s="716" t="s">
        <v>746</v>
      </c>
      <c r="L74" s="717" t="s">
        <v>746</v>
      </c>
      <c r="M74" s="716" t="s">
        <v>746</v>
      </c>
      <c r="N74" s="716" t="s">
        <v>746</v>
      </c>
      <c r="O74" s="716" t="s">
        <v>746</v>
      </c>
      <c r="P74" s="2881" t="s">
        <v>746</v>
      </c>
      <c r="Q74" s="2909" t="s">
        <v>746</v>
      </c>
      <c r="R74" s="2910" t="s">
        <v>746</v>
      </c>
      <c r="S74" s="2910" t="s">
        <v>746</v>
      </c>
      <c r="T74" s="2911" t="s">
        <v>746</v>
      </c>
    </row>
    <row r="75" spans="1:20" ht="40.15" thickBot="1">
      <c r="A75" s="3865"/>
      <c r="B75" s="3870"/>
      <c r="C75" s="3878"/>
      <c r="D75" s="160" t="s">
        <v>743</v>
      </c>
      <c r="E75" s="148" t="s">
        <v>252</v>
      </c>
      <c r="F75" s="56" t="s">
        <v>252</v>
      </c>
      <c r="G75" s="577" t="s">
        <v>746</v>
      </c>
      <c r="H75" s="572" t="s">
        <v>746</v>
      </c>
      <c r="I75" s="572" t="s">
        <v>746</v>
      </c>
      <c r="J75" s="572" t="s">
        <v>746</v>
      </c>
      <c r="K75" s="572" t="s">
        <v>746</v>
      </c>
      <c r="L75" s="572" t="s">
        <v>746</v>
      </c>
      <c r="M75" s="572" t="s">
        <v>746</v>
      </c>
      <c r="N75" s="572" t="s">
        <v>746</v>
      </c>
      <c r="O75" s="572" t="s">
        <v>746</v>
      </c>
      <c r="P75" s="577" t="s">
        <v>746</v>
      </c>
      <c r="Q75" s="2906" t="s">
        <v>746</v>
      </c>
      <c r="R75" s="2907" t="s">
        <v>746</v>
      </c>
      <c r="S75" s="2907" t="s">
        <v>746</v>
      </c>
      <c r="T75" s="2908" t="s">
        <v>746</v>
      </c>
    </row>
    <row r="76" spans="1:20" ht="40.15" thickBot="1">
      <c r="A76" s="3865"/>
      <c r="B76" s="3870"/>
      <c r="C76" s="3873"/>
      <c r="D76" s="148" t="s">
        <v>769</v>
      </c>
      <c r="E76" s="148" t="s">
        <v>252</v>
      </c>
      <c r="F76" s="56" t="s">
        <v>252</v>
      </c>
      <c r="G76" s="557" t="s">
        <v>746</v>
      </c>
      <c r="H76" s="164" t="s">
        <v>746</v>
      </c>
      <c r="I76" s="164" t="s">
        <v>746</v>
      </c>
      <c r="J76" s="559" t="s">
        <v>746</v>
      </c>
      <c r="K76" s="559" t="s">
        <v>746</v>
      </c>
      <c r="L76" s="559" t="s">
        <v>746</v>
      </c>
      <c r="M76" s="164" t="s">
        <v>746</v>
      </c>
      <c r="N76" s="559" t="s">
        <v>746</v>
      </c>
      <c r="O76" s="559" t="s">
        <v>746</v>
      </c>
      <c r="P76" s="2882" t="s">
        <v>746</v>
      </c>
      <c r="Q76" s="2912" t="s">
        <v>746</v>
      </c>
      <c r="R76" s="2913" t="s">
        <v>746</v>
      </c>
      <c r="S76" s="2913" t="s">
        <v>746</v>
      </c>
      <c r="T76" s="2914" t="s">
        <v>746</v>
      </c>
    </row>
    <row r="77" spans="1:20" ht="53.45" thickBot="1">
      <c r="A77" s="3865"/>
      <c r="B77" s="3871"/>
      <c r="C77" s="3879"/>
      <c r="D77" s="525" t="s">
        <v>770</v>
      </c>
      <c r="E77" s="149" t="s">
        <v>252</v>
      </c>
      <c r="F77" s="149" t="s">
        <v>252</v>
      </c>
      <c r="G77" s="561" t="s">
        <v>771</v>
      </c>
      <c r="H77" s="559" t="s">
        <v>771</v>
      </c>
      <c r="I77" s="718" t="s">
        <v>772</v>
      </c>
      <c r="J77" s="714" t="s">
        <v>772</v>
      </c>
      <c r="K77" s="715" t="s">
        <v>772</v>
      </c>
      <c r="L77" s="714" t="s">
        <v>772</v>
      </c>
      <c r="M77" s="718" t="s">
        <v>772</v>
      </c>
      <c r="N77" s="714" t="s">
        <v>772</v>
      </c>
      <c r="O77" s="715" t="s">
        <v>772</v>
      </c>
      <c r="P77" s="2883" t="s">
        <v>772</v>
      </c>
      <c r="Q77" s="2903" t="s">
        <v>772</v>
      </c>
      <c r="R77" s="2904" t="s">
        <v>772</v>
      </c>
      <c r="S77" s="2904" t="s">
        <v>772</v>
      </c>
      <c r="T77" s="2905" t="s">
        <v>772</v>
      </c>
    </row>
    <row r="78" spans="1:20" ht="121.9" customHeight="1" thickBot="1">
      <c r="A78" s="3865"/>
      <c r="B78" s="146" t="s">
        <v>773</v>
      </c>
      <c r="C78" s="214" t="s">
        <v>774</v>
      </c>
      <c r="D78" s="555"/>
      <c r="E78" s="539" t="s">
        <v>252</v>
      </c>
      <c r="F78" s="539" t="s">
        <v>252</v>
      </c>
      <c r="G78" s="154" t="s">
        <v>775</v>
      </c>
      <c r="H78" s="527" t="s">
        <v>775</v>
      </c>
      <c r="I78" s="3828" t="s">
        <v>776</v>
      </c>
      <c r="J78" s="3829"/>
      <c r="K78" s="3829"/>
      <c r="L78" s="3830"/>
      <c r="M78" s="3828" t="s">
        <v>776</v>
      </c>
      <c r="N78" s="3829"/>
      <c r="O78" s="3829"/>
      <c r="P78" s="3838"/>
      <c r="Q78" s="3927" t="s">
        <v>776</v>
      </c>
      <c r="R78" s="3928"/>
      <c r="S78" s="3928"/>
      <c r="T78" s="3929"/>
    </row>
    <row r="79" spans="1:20" ht="40.15" thickBot="1">
      <c r="A79" s="3865"/>
      <c r="B79" s="146" t="s">
        <v>777</v>
      </c>
      <c r="C79" s="215" t="s">
        <v>778</v>
      </c>
      <c r="D79" s="556"/>
      <c r="E79" s="155" t="s">
        <v>252</v>
      </c>
      <c r="F79" s="155" t="s">
        <v>252</v>
      </c>
      <c r="G79" s="156" t="s">
        <v>779</v>
      </c>
      <c r="H79" s="535" t="s">
        <v>779</v>
      </c>
      <c r="I79" s="3831" t="s">
        <v>779</v>
      </c>
      <c r="J79" s="3832"/>
      <c r="K79" s="3832"/>
      <c r="L79" s="3839"/>
      <c r="M79" s="3831" t="s">
        <v>779</v>
      </c>
      <c r="N79" s="3832"/>
      <c r="O79" s="3832"/>
      <c r="P79" s="3839"/>
      <c r="Q79" s="3930" t="s">
        <v>780</v>
      </c>
      <c r="R79" s="3931"/>
      <c r="S79" s="3931"/>
      <c r="T79" s="3932"/>
    </row>
    <row r="80" spans="1:20" ht="42" thickBot="1">
      <c r="B80" s="772"/>
      <c r="C80" s="215" t="s">
        <v>781</v>
      </c>
      <c r="D80" s="556"/>
      <c r="E80" s="766" t="s">
        <v>782</v>
      </c>
      <c r="F80" s="766" t="s">
        <v>782</v>
      </c>
      <c r="G80" s="156" t="s">
        <v>782</v>
      </c>
      <c r="H80" s="765"/>
      <c r="I80" s="3828"/>
      <c r="J80" s="3829" t="s">
        <v>783</v>
      </c>
      <c r="K80" s="3829" t="s">
        <v>783</v>
      </c>
      <c r="L80" s="3830" t="s">
        <v>783</v>
      </c>
      <c r="M80" s="1014"/>
      <c r="N80" s="1014"/>
      <c r="O80" s="1014"/>
      <c r="P80" s="1014"/>
      <c r="Q80" s="3822" t="s">
        <v>24</v>
      </c>
      <c r="R80" s="3823"/>
      <c r="S80" s="3823"/>
      <c r="T80" s="3824"/>
    </row>
    <row r="81" spans="2:20" ht="264.60000000000002" thickBot="1">
      <c r="B81" s="772"/>
      <c r="C81" s="215" t="s">
        <v>784</v>
      </c>
      <c r="D81" s="556"/>
      <c r="E81" s="766" t="s">
        <v>782</v>
      </c>
      <c r="F81" s="766" t="s">
        <v>782</v>
      </c>
      <c r="G81" s="156" t="s">
        <v>782</v>
      </c>
      <c r="H81" s="765"/>
      <c r="I81" s="3831"/>
      <c r="J81" s="3832" t="s">
        <v>785</v>
      </c>
      <c r="K81" s="3832" t="s">
        <v>785</v>
      </c>
      <c r="L81" s="3833" t="s">
        <v>785</v>
      </c>
      <c r="M81" s="720"/>
      <c r="N81" s="720"/>
      <c r="O81" s="720"/>
      <c r="P81" s="720"/>
      <c r="Q81" s="3825" t="s">
        <v>786</v>
      </c>
      <c r="R81" s="3826"/>
      <c r="S81" s="3826"/>
      <c r="T81" s="3827"/>
    </row>
  </sheetData>
  <mergeCells count="146">
    <mergeCell ref="Q58:T58"/>
    <mergeCell ref="Q59:T59"/>
    <mergeCell ref="Q60:T60"/>
    <mergeCell ref="Q61:T61"/>
    <mergeCell ref="Q62:T62"/>
    <mergeCell ref="Q73:T73"/>
    <mergeCell ref="Q78:T78"/>
    <mergeCell ref="Q79:T79"/>
    <mergeCell ref="Q36:T36"/>
    <mergeCell ref="Q37:T37"/>
    <mergeCell ref="Q38:T38"/>
    <mergeCell ref="Q52:T52"/>
    <mergeCell ref="Q53:T53"/>
    <mergeCell ref="Q54:T54"/>
    <mergeCell ref="Q55:T55"/>
    <mergeCell ref="Q56:T56"/>
    <mergeCell ref="Q57:T57"/>
    <mergeCell ref="Q23:T23"/>
    <mergeCell ref="Q24:T24"/>
    <mergeCell ref="Q25:T25"/>
    <mergeCell ref="Q26:T27"/>
    <mergeCell ref="Q28:T30"/>
    <mergeCell ref="Q31:T32"/>
    <mergeCell ref="Q33:T33"/>
    <mergeCell ref="Q34:T34"/>
    <mergeCell ref="Q35:T35"/>
    <mergeCell ref="Q4:T4"/>
    <mergeCell ref="Q5:T5"/>
    <mergeCell ref="Q6:T9"/>
    <mergeCell ref="Q10:T10"/>
    <mergeCell ref="Q11:T17"/>
    <mergeCell ref="Q18:T18"/>
    <mergeCell ref="Q19:T19"/>
    <mergeCell ref="Q20:T20"/>
    <mergeCell ref="Q21:T22"/>
    <mergeCell ref="M11:P17"/>
    <mergeCell ref="C10:C17"/>
    <mergeCell ref="I55:L55"/>
    <mergeCell ref="I31:L32"/>
    <mergeCell ref="I26:L27"/>
    <mergeCell ref="I25:L25"/>
    <mergeCell ref="I24:L24"/>
    <mergeCell ref="I37:L37"/>
    <mergeCell ref="I36:L36"/>
    <mergeCell ref="I54:L54"/>
    <mergeCell ref="I52:L52"/>
    <mergeCell ref="I53:L53"/>
    <mergeCell ref="H26:H27"/>
    <mergeCell ref="H29:H30"/>
    <mergeCell ref="M25:P25"/>
    <mergeCell ref="M26:P27"/>
    <mergeCell ref="M28:P30"/>
    <mergeCell ref="M31:P32"/>
    <mergeCell ref="M18:P18"/>
    <mergeCell ref="M19:P19"/>
    <mergeCell ref="M20:P20"/>
    <mergeCell ref="M21:P22"/>
    <mergeCell ref="M23:P23"/>
    <mergeCell ref="M38:P38"/>
    <mergeCell ref="I5:L5"/>
    <mergeCell ref="I4:L4"/>
    <mergeCell ref="I35:L35"/>
    <mergeCell ref="I34:L34"/>
    <mergeCell ref="I33:L33"/>
    <mergeCell ref="I23:L23"/>
    <mergeCell ref="I21:L22"/>
    <mergeCell ref="I28:L30"/>
    <mergeCell ref="I38:L38"/>
    <mergeCell ref="I6:L9"/>
    <mergeCell ref="I20:L20"/>
    <mergeCell ref="I19:L19"/>
    <mergeCell ref="I18:L18"/>
    <mergeCell ref="I10:L10"/>
    <mergeCell ref="I11:L17"/>
    <mergeCell ref="B31:B37"/>
    <mergeCell ref="C31:C37"/>
    <mergeCell ref="G26:G27"/>
    <mergeCell ref="D29:D30"/>
    <mergeCell ref="G29:G30"/>
    <mergeCell ref="E29:E30"/>
    <mergeCell ref="F29:F30"/>
    <mergeCell ref="H6:H9"/>
    <mergeCell ref="B10:B16"/>
    <mergeCell ref="G11:G16"/>
    <mergeCell ref="H11:H16"/>
    <mergeCell ref="H21:H22"/>
    <mergeCell ref="B20:B22"/>
    <mergeCell ref="C20:C22"/>
    <mergeCell ref="G21:G22"/>
    <mergeCell ref="M4:P4"/>
    <mergeCell ref="M5:P5"/>
    <mergeCell ref="M6:P9"/>
    <mergeCell ref="M10:P10"/>
    <mergeCell ref="A5:A79"/>
    <mergeCell ref="B1:D1"/>
    <mergeCell ref="B2:D2"/>
    <mergeCell ref="B5:B9"/>
    <mergeCell ref="C5:C9"/>
    <mergeCell ref="B18:B19"/>
    <mergeCell ref="C18:C19"/>
    <mergeCell ref="B38:B62"/>
    <mergeCell ref="C38:C62"/>
    <mergeCell ref="B63:B77"/>
    <mergeCell ref="C63:C77"/>
    <mergeCell ref="B25:B27"/>
    <mergeCell ref="C25:C27"/>
    <mergeCell ref="B28:B30"/>
    <mergeCell ref="C28:C30"/>
    <mergeCell ref="B23:B24"/>
    <mergeCell ref="C23:C24"/>
    <mergeCell ref="G6:G9"/>
    <mergeCell ref="E3:H3"/>
    <mergeCell ref="M24:P24"/>
    <mergeCell ref="M52:P52"/>
    <mergeCell ref="M53:P53"/>
    <mergeCell ref="M54:P54"/>
    <mergeCell ref="M55:P55"/>
    <mergeCell ref="M33:P33"/>
    <mergeCell ref="M34:P34"/>
    <mergeCell ref="M35:P35"/>
    <mergeCell ref="M36:P36"/>
    <mergeCell ref="M37:P37"/>
    <mergeCell ref="M56:P56"/>
    <mergeCell ref="M57:P57"/>
    <mergeCell ref="M58:P58"/>
    <mergeCell ref="M59:P59"/>
    <mergeCell ref="M60:P60"/>
    <mergeCell ref="I62:L62"/>
    <mergeCell ref="I78:L78"/>
    <mergeCell ref="I79:L79"/>
    <mergeCell ref="I57:L57"/>
    <mergeCell ref="I58:L58"/>
    <mergeCell ref="I59:L59"/>
    <mergeCell ref="I60:L60"/>
    <mergeCell ref="I61:L61"/>
    <mergeCell ref="I73:L73"/>
    <mergeCell ref="I56:L56"/>
    <mergeCell ref="Q80:T80"/>
    <mergeCell ref="Q81:T81"/>
    <mergeCell ref="I80:L80"/>
    <mergeCell ref="I81:L81"/>
    <mergeCell ref="M61:P61"/>
    <mergeCell ref="M62:P62"/>
    <mergeCell ref="M73:P73"/>
    <mergeCell ref="M78:P78"/>
    <mergeCell ref="M79:P79"/>
  </mergeCells>
  <phoneticPr fontId="16" type="noConversion"/>
  <pageMargins left="0.7" right="0.7" top="0.75" bottom="0.75" header="0.3" footer="0.3"/>
  <pageSetup paperSize="9" orientation="portrait" r:id="rId1"/>
  <headerFooter>
    <oddFooter>&amp;C_x000D_&amp;1#&amp;"Calibri"&amp;10&amp;K000000 C2 - Internal</oddFooter>
  </headerFooter>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48250-03B7-4C2B-91B6-0EE58D21E1D6}">
  <sheetPr>
    <tabColor rgb="FFFFC000"/>
  </sheetPr>
  <dimension ref="A1:M65"/>
  <sheetViews>
    <sheetView workbookViewId="0">
      <selection activeCell="L43" sqref="L43"/>
    </sheetView>
  </sheetViews>
  <sheetFormatPr defaultRowHeight="14.45"/>
  <cols>
    <col min="3" max="3" width="81.140625" customWidth="1"/>
    <col min="4" max="4" width="11" hidden="1" customWidth="1"/>
    <col min="5" max="5" width="2.28515625" hidden="1" customWidth="1"/>
    <col min="6" max="12" width="11" customWidth="1"/>
  </cols>
  <sheetData>
    <row r="1" spans="1:13" ht="17.45">
      <c r="A1" s="150" t="s">
        <v>787</v>
      </c>
    </row>
    <row r="2" spans="1:13" ht="10.9" customHeight="1" thickBot="1">
      <c r="A2" s="753"/>
      <c r="B2" s="753"/>
      <c r="C2" s="753"/>
      <c r="D2" s="753"/>
      <c r="E2" s="753"/>
      <c r="F2" s="2074"/>
      <c r="G2" s="2075"/>
      <c r="H2" s="2075"/>
      <c r="I2" s="2075"/>
      <c r="J2" s="2075"/>
      <c r="K2" s="2075"/>
      <c r="L2" s="2075"/>
    </row>
    <row r="3" spans="1:13" ht="14.25" customHeight="1" thickBot="1">
      <c r="A3" s="3953" t="s">
        <v>788</v>
      </c>
      <c r="B3" s="3955" t="s">
        <v>789</v>
      </c>
      <c r="C3" s="3937" t="s">
        <v>162</v>
      </c>
      <c r="D3" s="3933" t="s">
        <v>790</v>
      </c>
      <c r="E3" s="3934"/>
      <c r="F3" s="3935"/>
      <c r="G3" s="3935"/>
      <c r="H3" s="3935"/>
      <c r="I3" s="3935"/>
      <c r="J3" s="3935"/>
      <c r="K3" s="3935"/>
      <c r="L3" s="3936"/>
      <c r="M3" s="723"/>
    </row>
    <row r="4" spans="1:13" ht="33.4" customHeight="1" thickBot="1">
      <c r="A4" s="3954"/>
      <c r="B4" s="3956"/>
      <c r="C4" s="3938"/>
      <c r="D4" s="2188" t="s">
        <v>10</v>
      </c>
      <c r="E4" s="2189" t="s">
        <v>11</v>
      </c>
      <c r="F4" s="2199" t="s">
        <v>12</v>
      </c>
      <c r="G4" s="2200" t="s">
        <v>13</v>
      </c>
      <c r="H4" s="2201" t="s">
        <v>14</v>
      </c>
      <c r="I4" s="2202" t="s">
        <v>15</v>
      </c>
      <c r="J4" s="2202" t="s">
        <v>16</v>
      </c>
      <c r="K4" s="2202" t="s">
        <v>163</v>
      </c>
      <c r="L4" s="2203" t="s">
        <v>164</v>
      </c>
    </row>
    <row r="5" spans="1:13" ht="27" thickTop="1">
      <c r="A5" s="3939" t="s">
        <v>165</v>
      </c>
      <c r="B5" s="3943" t="s">
        <v>791</v>
      </c>
      <c r="C5" s="970" t="s">
        <v>792</v>
      </c>
      <c r="D5" s="940" t="s">
        <v>793</v>
      </c>
      <c r="E5" s="754" t="s">
        <v>793</v>
      </c>
      <c r="F5" s="755">
        <v>123347</v>
      </c>
      <c r="G5" s="933">
        <v>105339</v>
      </c>
      <c r="H5" s="933">
        <v>11350</v>
      </c>
      <c r="I5" s="2080">
        <v>39951</v>
      </c>
      <c r="J5" s="2081">
        <v>118324</v>
      </c>
      <c r="K5" s="2080">
        <v>154870</v>
      </c>
      <c r="L5" s="2854"/>
    </row>
    <row r="6" spans="1:13" ht="26.45">
      <c r="A6" s="3940"/>
      <c r="B6" s="3944"/>
      <c r="C6" s="951" t="s">
        <v>794</v>
      </c>
      <c r="D6" s="941" t="s">
        <v>793</v>
      </c>
      <c r="E6" s="756" t="s">
        <v>793</v>
      </c>
      <c r="F6" s="757">
        <f t="shared" ref="F6" si="0">F5*F7</f>
        <v>122051.85650000001</v>
      </c>
      <c r="G6" s="926">
        <f>G5*G7</f>
        <v>105191.5254</v>
      </c>
      <c r="H6" s="926">
        <v>11319</v>
      </c>
      <c r="I6" s="2078">
        <v>39631</v>
      </c>
      <c r="J6" s="2079">
        <v>118205</v>
      </c>
      <c r="K6" s="2080">
        <v>154560</v>
      </c>
      <c r="L6" s="2854"/>
    </row>
    <row r="7" spans="1:13" ht="30" customHeight="1">
      <c r="A7" s="3940"/>
      <c r="B7" s="3944"/>
      <c r="C7" s="952" t="s">
        <v>795</v>
      </c>
      <c r="D7" s="942" t="s">
        <v>793</v>
      </c>
      <c r="E7" s="758" t="s">
        <v>793</v>
      </c>
      <c r="F7" s="759">
        <v>0.98950000000000005</v>
      </c>
      <c r="G7" s="927">
        <v>0.99860000000000004</v>
      </c>
      <c r="H7" s="937">
        <f>SUM(1/H5)*H6</f>
        <v>0.99726872246696041</v>
      </c>
      <c r="I7" s="937">
        <f>SUM(1/I5)*I6</f>
        <v>0.99199018798027583</v>
      </c>
      <c r="J7" s="937">
        <f t="shared" ref="J7:L7" si="1">SUM(1/J5)*J6</f>
        <v>0.99899428687333081</v>
      </c>
      <c r="K7" s="937">
        <f t="shared" si="1"/>
        <v>0.99799832117259646</v>
      </c>
      <c r="L7" s="2190" t="e">
        <f t="shared" si="1"/>
        <v>#DIV/0!</v>
      </c>
    </row>
    <row r="8" spans="1:13" ht="26.45">
      <c r="A8" s="3940"/>
      <c r="B8" s="3944"/>
      <c r="C8" s="951" t="s">
        <v>796</v>
      </c>
      <c r="D8" s="941" t="s">
        <v>793</v>
      </c>
      <c r="E8" s="756" t="s">
        <v>793</v>
      </c>
      <c r="F8" s="757">
        <v>70051</v>
      </c>
      <c r="G8" s="926">
        <v>51118</v>
      </c>
      <c r="H8" s="926">
        <v>7381</v>
      </c>
      <c r="I8" s="2080">
        <v>20807</v>
      </c>
      <c r="J8" s="2081">
        <v>130792</v>
      </c>
      <c r="K8" s="2080">
        <v>159661</v>
      </c>
      <c r="L8" s="2854"/>
    </row>
    <row r="9" spans="1:13" ht="26.45">
      <c r="A9" s="3940"/>
      <c r="B9" s="3944"/>
      <c r="C9" s="951" t="s">
        <v>797</v>
      </c>
      <c r="D9" s="941" t="s">
        <v>793</v>
      </c>
      <c r="E9" s="756" t="s">
        <v>793</v>
      </c>
      <c r="F9" s="757">
        <f t="shared" ref="F9" si="2">F8*F10</f>
        <v>69784.806199999992</v>
      </c>
      <c r="G9" s="926">
        <f>G8*G10</f>
        <v>51097.552800000005</v>
      </c>
      <c r="H9" s="926">
        <v>7378</v>
      </c>
      <c r="I9" s="2080">
        <v>20765</v>
      </c>
      <c r="J9" s="2081">
        <v>130779</v>
      </c>
      <c r="K9" s="2080">
        <v>159661</v>
      </c>
      <c r="L9" s="2854"/>
    </row>
    <row r="10" spans="1:13" ht="40.15" thickBot="1">
      <c r="A10" s="3940"/>
      <c r="B10" s="3944"/>
      <c r="C10" s="953" t="s">
        <v>798</v>
      </c>
      <c r="D10" s="943" t="s">
        <v>793</v>
      </c>
      <c r="E10" s="919" t="s">
        <v>793</v>
      </c>
      <c r="F10" s="920">
        <v>0.99619999999999997</v>
      </c>
      <c r="G10" s="928">
        <v>0.99960000000000004</v>
      </c>
      <c r="H10" s="2204">
        <f>SUM(1/H8)*H9</f>
        <v>0.99959355100934844</v>
      </c>
      <c r="I10" s="2204">
        <f>SUM(1/I8)*I9</f>
        <v>0.99798144855096838</v>
      </c>
      <c r="J10" s="2204">
        <f t="shared" ref="J10:L10" si="3">SUM(1/J8)*J9</f>
        <v>0.99990060554162341</v>
      </c>
      <c r="K10" s="2204">
        <f t="shared" si="3"/>
        <v>1</v>
      </c>
      <c r="L10" s="2191" t="e">
        <f t="shared" si="3"/>
        <v>#DIV/0!</v>
      </c>
    </row>
    <row r="11" spans="1:13" ht="26.45">
      <c r="A11" s="3940"/>
      <c r="B11" s="3945" t="s">
        <v>799</v>
      </c>
      <c r="C11" s="950" t="s">
        <v>800</v>
      </c>
      <c r="D11" s="940" t="s">
        <v>793</v>
      </c>
      <c r="E11" s="922" t="s">
        <v>793</v>
      </c>
      <c r="F11" s="923">
        <v>112173</v>
      </c>
      <c r="G11" s="929">
        <v>100653</v>
      </c>
      <c r="H11" s="929">
        <v>11577</v>
      </c>
      <c r="I11" s="2078">
        <v>40312</v>
      </c>
      <c r="J11" s="2079">
        <v>130792</v>
      </c>
      <c r="K11" s="2078">
        <v>159661</v>
      </c>
      <c r="L11" s="2855"/>
    </row>
    <row r="12" spans="1:13" ht="26.45">
      <c r="A12" s="3940"/>
      <c r="B12" s="3944"/>
      <c r="C12" s="951" t="s">
        <v>801</v>
      </c>
      <c r="D12" s="941" t="s">
        <v>793</v>
      </c>
      <c r="E12" s="756" t="s">
        <v>793</v>
      </c>
      <c r="F12" s="757">
        <f t="shared" ref="F12" si="4">F11*F13</f>
        <v>107674.8627</v>
      </c>
      <c r="G12" s="926">
        <f>G11*G13</f>
        <v>97874.977200000008</v>
      </c>
      <c r="H12" s="926">
        <v>11524</v>
      </c>
      <c r="I12" s="2080">
        <v>39667</v>
      </c>
      <c r="J12" s="2081">
        <v>121244</v>
      </c>
      <c r="K12" s="2080">
        <v>159022</v>
      </c>
      <c r="L12" s="2854"/>
    </row>
    <row r="13" spans="1:13" ht="26.45">
      <c r="A13" s="3940"/>
      <c r="B13" s="3944"/>
      <c r="C13" s="952" t="s">
        <v>802</v>
      </c>
      <c r="D13" s="942" t="s">
        <v>793</v>
      </c>
      <c r="E13" s="758" t="s">
        <v>793</v>
      </c>
      <c r="F13" s="759">
        <v>0.95989999999999998</v>
      </c>
      <c r="G13" s="930">
        <v>0.97240000000000004</v>
      </c>
      <c r="H13" s="937">
        <f>SUM(1/H11)*H12</f>
        <v>0.99542195732918715</v>
      </c>
      <c r="I13" s="937">
        <f>SUM(1/I11)*I12</f>
        <v>0.98399980154792621</v>
      </c>
      <c r="J13" s="937">
        <f t="shared" ref="J13:L13" si="5">SUM(1/J11)*J12</f>
        <v>0.92699859318612765</v>
      </c>
      <c r="K13" s="937">
        <f t="shared" si="5"/>
        <v>0.99599777027577185</v>
      </c>
      <c r="L13" s="2190" t="e">
        <f t="shared" si="5"/>
        <v>#DIV/0!</v>
      </c>
    </row>
    <row r="14" spans="1:13" ht="26.45">
      <c r="A14" s="3940"/>
      <c r="B14" s="3944"/>
      <c r="C14" s="951" t="s">
        <v>803</v>
      </c>
      <c r="D14" s="941" t="s">
        <v>793</v>
      </c>
      <c r="E14" s="756" t="s">
        <v>793</v>
      </c>
      <c r="F14" s="757">
        <v>44870</v>
      </c>
      <c r="G14" s="926">
        <v>54346</v>
      </c>
      <c r="H14" s="926">
        <v>9296</v>
      </c>
      <c r="I14" s="2080">
        <v>25048</v>
      </c>
      <c r="J14" s="2081">
        <v>61934</v>
      </c>
      <c r="K14" s="2080">
        <v>79767</v>
      </c>
      <c r="L14" s="2854"/>
    </row>
    <row r="15" spans="1:13" ht="26.45">
      <c r="A15" s="3940"/>
      <c r="B15" s="3944"/>
      <c r="C15" s="951" t="s">
        <v>804</v>
      </c>
      <c r="D15" s="941" t="s">
        <v>793</v>
      </c>
      <c r="E15" s="756" t="s">
        <v>793</v>
      </c>
      <c r="F15" s="757">
        <f t="shared" ref="F15" si="6">F14*F16</f>
        <v>43743.762999999999</v>
      </c>
      <c r="G15" s="926">
        <f>G14*G16</f>
        <v>53753.628599999996</v>
      </c>
      <c r="H15" s="926">
        <v>9290</v>
      </c>
      <c r="I15" s="2080">
        <v>24923</v>
      </c>
      <c r="J15" s="2081">
        <v>60881</v>
      </c>
      <c r="K15" s="2080">
        <v>79767</v>
      </c>
      <c r="L15" s="2854"/>
    </row>
    <row r="16" spans="1:13" ht="27" thickBot="1">
      <c r="A16" s="3940"/>
      <c r="B16" s="3946"/>
      <c r="C16" s="954" t="s">
        <v>805</v>
      </c>
      <c r="D16" s="944" t="s">
        <v>793</v>
      </c>
      <c r="E16" s="762" t="s">
        <v>793</v>
      </c>
      <c r="F16" s="920">
        <v>0.97489999999999999</v>
      </c>
      <c r="G16" s="931">
        <v>0.98909999999999998</v>
      </c>
      <c r="H16" s="938">
        <f>SUM(1/H14)*H15</f>
        <v>0.99935456110154908</v>
      </c>
      <c r="I16" s="938">
        <f>SUM(1/I14)*I15</f>
        <v>0.99500958160332165</v>
      </c>
      <c r="J16" s="938">
        <f t="shared" ref="J16:L16" si="7">SUM(1/J14)*J15</f>
        <v>0.98299803016113929</v>
      </c>
      <c r="K16" s="938">
        <f t="shared" si="7"/>
        <v>1</v>
      </c>
      <c r="L16" s="2192" t="e">
        <f t="shared" si="7"/>
        <v>#DIV/0!</v>
      </c>
    </row>
    <row r="17" spans="1:12" ht="26.45">
      <c r="A17" s="3941"/>
      <c r="B17" s="3947" t="s">
        <v>806</v>
      </c>
      <c r="C17" s="971" t="s">
        <v>807</v>
      </c>
      <c r="D17" s="945" t="s">
        <v>793</v>
      </c>
      <c r="E17" s="924" t="s">
        <v>793</v>
      </c>
      <c r="F17" s="925">
        <f>SUM(F14,F11,F8,F5)</f>
        <v>350441</v>
      </c>
      <c r="G17" s="932">
        <f>SUM(G14,G11,G8,G5)</f>
        <v>311456</v>
      </c>
      <c r="H17" s="932">
        <f>SUM(H14,H11,H8,H5)</f>
        <v>39604</v>
      </c>
      <c r="I17" s="932">
        <f>SUM(I14,I11,I8,I5)</f>
        <v>126118</v>
      </c>
      <c r="J17" s="932">
        <f t="shared" ref="J17:L17" si="8">SUM(J14,J11,J8,J5)</f>
        <v>441842</v>
      </c>
      <c r="K17" s="932">
        <f t="shared" si="8"/>
        <v>553959</v>
      </c>
      <c r="L17" s="2193">
        <f t="shared" si="8"/>
        <v>0</v>
      </c>
    </row>
    <row r="18" spans="1:12" ht="26.45">
      <c r="A18" s="3941"/>
      <c r="B18" s="3944"/>
      <c r="C18" s="972" t="s">
        <v>808</v>
      </c>
      <c r="D18" s="941" t="s">
        <v>793</v>
      </c>
      <c r="E18" s="756" t="s">
        <v>793</v>
      </c>
      <c r="F18" s="757">
        <v>660</v>
      </c>
      <c r="G18" s="926">
        <v>2077</v>
      </c>
      <c r="H18" s="926">
        <v>161</v>
      </c>
      <c r="I18" s="2308">
        <v>0</v>
      </c>
      <c r="J18" s="2310">
        <v>0</v>
      </c>
      <c r="K18" s="2308">
        <v>0</v>
      </c>
      <c r="L18" s="2856"/>
    </row>
    <row r="19" spans="1:12" ht="27" thickBot="1">
      <c r="A19" s="3942"/>
      <c r="B19" s="3948"/>
      <c r="C19" s="973" t="s">
        <v>809</v>
      </c>
      <c r="D19" s="957" t="s">
        <v>793</v>
      </c>
      <c r="E19" s="958" t="s">
        <v>793</v>
      </c>
      <c r="F19" s="959">
        <v>3.92</v>
      </c>
      <c r="G19" s="960">
        <v>3.96</v>
      </c>
      <c r="H19" s="960">
        <v>4.3</v>
      </c>
      <c r="I19" s="2082">
        <v>7.8</v>
      </c>
      <c r="J19" s="2083" t="s">
        <v>24</v>
      </c>
      <c r="K19" s="2082">
        <v>4.2</v>
      </c>
      <c r="L19" s="2857"/>
    </row>
    <row r="20" spans="1:12" ht="27" thickTop="1">
      <c r="A20" s="3949" t="s">
        <v>172</v>
      </c>
      <c r="B20" s="3943" t="s">
        <v>791</v>
      </c>
      <c r="C20" s="977" t="s">
        <v>792</v>
      </c>
      <c r="D20" s="961" t="s">
        <v>793</v>
      </c>
      <c r="E20" s="962" t="s">
        <v>793</v>
      </c>
      <c r="F20" s="963">
        <v>24827</v>
      </c>
      <c r="G20" s="964">
        <v>25539</v>
      </c>
      <c r="H20" s="964">
        <v>2358</v>
      </c>
      <c r="I20" s="2076">
        <v>6867</v>
      </c>
      <c r="J20" s="2077">
        <v>21176</v>
      </c>
      <c r="K20" s="2076">
        <v>31532</v>
      </c>
      <c r="L20" s="2858"/>
    </row>
    <row r="21" spans="1:12" ht="26.45">
      <c r="A21" s="3950"/>
      <c r="B21" s="3944"/>
      <c r="C21" s="978" t="s">
        <v>794</v>
      </c>
      <c r="D21" s="941" t="s">
        <v>793</v>
      </c>
      <c r="E21" s="756" t="s">
        <v>793</v>
      </c>
      <c r="F21" s="757">
        <v>24827</v>
      </c>
      <c r="G21" s="926">
        <v>25539</v>
      </c>
      <c r="H21" s="926">
        <v>2358</v>
      </c>
      <c r="I21" s="2078">
        <v>6867</v>
      </c>
      <c r="J21" s="2079">
        <v>21176</v>
      </c>
      <c r="K21" s="2080">
        <v>31532</v>
      </c>
      <c r="L21" s="2854"/>
    </row>
    <row r="22" spans="1:12" ht="39.6">
      <c r="A22" s="3950"/>
      <c r="B22" s="3944"/>
      <c r="C22" s="979" t="s">
        <v>795</v>
      </c>
      <c r="D22" s="942" t="s">
        <v>793</v>
      </c>
      <c r="E22" s="758" t="s">
        <v>793</v>
      </c>
      <c r="F22" s="761">
        <v>1</v>
      </c>
      <c r="G22" s="934">
        <v>1</v>
      </c>
      <c r="H22" s="934">
        <f>SUM(1/H20)*H21</f>
        <v>1</v>
      </c>
      <c r="I22" s="934">
        <f>SUM(1/I20)*I21</f>
        <v>1</v>
      </c>
      <c r="J22" s="934">
        <f>SUM(1/J20)*J21</f>
        <v>1</v>
      </c>
      <c r="K22" s="934">
        <f>SUM(1/K20)*K21</f>
        <v>1</v>
      </c>
      <c r="L22" s="2194" t="e">
        <f t="shared" ref="L22" si="9">SUM(1/L20)*L20</f>
        <v>#DIV/0!</v>
      </c>
    </row>
    <row r="23" spans="1:12" ht="26.45">
      <c r="A23" s="3950"/>
      <c r="B23" s="3944"/>
      <c r="C23" s="978" t="s">
        <v>796</v>
      </c>
      <c r="D23" s="941" t="s">
        <v>793</v>
      </c>
      <c r="E23" s="756" t="s">
        <v>793</v>
      </c>
      <c r="F23" s="757">
        <v>5485</v>
      </c>
      <c r="G23" s="926">
        <v>5326</v>
      </c>
      <c r="H23" s="926">
        <v>345</v>
      </c>
      <c r="I23" s="2080">
        <v>1213</v>
      </c>
      <c r="J23" s="2081">
        <v>3947</v>
      </c>
      <c r="K23" s="2080">
        <v>5385</v>
      </c>
      <c r="L23" s="2854"/>
    </row>
    <row r="24" spans="1:12" ht="26.45">
      <c r="A24" s="3950"/>
      <c r="B24" s="3944"/>
      <c r="C24" s="978" t="s">
        <v>797</v>
      </c>
      <c r="D24" s="941" t="s">
        <v>793</v>
      </c>
      <c r="E24" s="756" t="s">
        <v>793</v>
      </c>
      <c r="F24" s="757">
        <v>5485</v>
      </c>
      <c r="G24" s="926">
        <v>5326</v>
      </c>
      <c r="H24" s="926">
        <v>345</v>
      </c>
      <c r="I24" s="2080">
        <v>1213</v>
      </c>
      <c r="J24" s="2081">
        <v>3947</v>
      </c>
      <c r="K24" s="2080">
        <v>5385</v>
      </c>
      <c r="L24" s="2854"/>
    </row>
    <row r="25" spans="1:12" ht="39.6">
      <c r="A25" s="3950"/>
      <c r="B25" s="3952"/>
      <c r="C25" s="979" t="s">
        <v>798</v>
      </c>
      <c r="D25" s="942" t="s">
        <v>793</v>
      </c>
      <c r="E25" s="758" t="s">
        <v>793</v>
      </c>
      <c r="F25" s="761">
        <v>1</v>
      </c>
      <c r="G25" s="934">
        <v>1</v>
      </c>
      <c r="H25" s="934">
        <f>SUM(1/H23)*H24</f>
        <v>1</v>
      </c>
      <c r="I25" s="934">
        <f t="shared" ref="I25:L25" si="10">SUM(1/I23)*I24</f>
        <v>1</v>
      </c>
      <c r="J25" s="934">
        <f t="shared" si="10"/>
        <v>1</v>
      </c>
      <c r="K25" s="934">
        <f t="shared" si="10"/>
        <v>1</v>
      </c>
      <c r="L25" s="934" t="e">
        <f t="shared" si="10"/>
        <v>#DIV/0!</v>
      </c>
    </row>
    <row r="26" spans="1:12" ht="26.45">
      <c r="A26" s="3950"/>
      <c r="B26" s="3947" t="s">
        <v>799</v>
      </c>
      <c r="C26" s="978" t="s">
        <v>800</v>
      </c>
      <c r="D26" s="941" t="s">
        <v>793</v>
      </c>
      <c r="E26" s="756" t="s">
        <v>793</v>
      </c>
      <c r="F26" s="757">
        <v>27452</v>
      </c>
      <c r="G26" s="926">
        <v>28123</v>
      </c>
      <c r="H26" s="926">
        <v>2385</v>
      </c>
      <c r="I26" s="2080">
        <v>6953</v>
      </c>
      <c r="J26" s="2081">
        <v>21619</v>
      </c>
      <c r="K26" s="2078">
        <v>32312</v>
      </c>
      <c r="L26" s="2854"/>
    </row>
    <row r="27" spans="1:12" ht="26.45">
      <c r="A27" s="3950"/>
      <c r="B27" s="3944"/>
      <c r="C27" s="978" t="s">
        <v>801</v>
      </c>
      <c r="D27" s="941" t="s">
        <v>793</v>
      </c>
      <c r="E27" s="756" t="s">
        <v>793</v>
      </c>
      <c r="F27" s="757">
        <v>27327</v>
      </c>
      <c r="G27" s="926">
        <v>27773</v>
      </c>
      <c r="H27" s="926">
        <v>2385</v>
      </c>
      <c r="I27" s="2080">
        <v>6936</v>
      </c>
      <c r="J27" s="2081">
        <v>21575</v>
      </c>
      <c r="K27" s="2080">
        <v>32280</v>
      </c>
      <c r="L27" s="2854"/>
    </row>
    <row r="28" spans="1:12" ht="26.45">
      <c r="A28" s="3950"/>
      <c r="B28" s="3944"/>
      <c r="C28" s="979" t="s">
        <v>802</v>
      </c>
      <c r="D28" s="942" t="s">
        <v>793</v>
      </c>
      <c r="E28" s="758" t="s">
        <v>793</v>
      </c>
      <c r="F28" s="937">
        <f t="shared" ref="F28:I28" si="11">SUM(1/F26)*F27</f>
        <v>0.99544659769779986</v>
      </c>
      <c r="G28" s="937">
        <f t="shared" si="11"/>
        <v>0.98755467055435053</v>
      </c>
      <c r="H28" s="937">
        <f t="shared" si="11"/>
        <v>1</v>
      </c>
      <c r="I28" s="937">
        <f t="shared" si="11"/>
        <v>0.99755501222493892</v>
      </c>
      <c r="J28" s="937">
        <f>SUM(1/J26)*J27</f>
        <v>0.9979647532263286</v>
      </c>
      <c r="K28" s="937">
        <f t="shared" ref="K28:L28" si="12">SUM(1/K26)*K27</f>
        <v>0.99900965585540979</v>
      </c>
      <c r="L28" s="937" t="e">
        <f t="shared" si="12"/>
        <v>#DIV/0!</v>
      </c>
    </row>
    <row r="29" spans="1:12" ht="26.45">
      <c r="A29" s="3950"/>
      <c r="B29" s="3944"/>
      <c r="C29" s="978" t="s">
        <v>803</v>
      </c>
      <c r="D29" s="941" t="s">
        <v>793</v>
      </c>
      <c r="E29" s="756" t="s">
        <v>793</v>
      </c>
      <c r="F29" s="757">
        <v>3422</v>
      </c>
      <c r="G29" s="926">
        <v>3379</v>
      </c>
      <c r="H29" s="926">
        <v>412</v>
      </c>
      <c r="I29" s="2084">
        <v>937</v>
      </c>
      <c r="J29" s="2081">
        <v>3325</v>
      </c>
      <c r="K29" s="2080">
        <v>5635</v>
      </c>
      <c r="L29" s="2854"/>
    </row>
    <row r="30" spans="1:12" ht="26.45">
      <c r="A30" s="3950"/>
      <c r="B30" s="3944"/>
      <c r="C30" s="978" t="s">
        <v>804</v>
      </c>
      <c r="D30" s="941" t="s">
        <v>793</v>
      </c>
      <c r="E30" s="756" t="s">
        <v>793</v>
      </c>
      <c r="F30" s="757">
        <v>3408</v>
      </c>
      <c r="G30" s="926">
        <v>3378</v>
      </c>
      <c r="H30" s="926">
        <v>412</v>
      </c>
      <c r="I30" s="2084">
        <v>937</v>
      </c>
      <c r="J30" s="2081">
        <v>3325</v>
      </c>
      <c r="K30" s="2080">
        <v>5635</v>
      </c>
      <c r="L30" s="2854"/>
    </row>
    <row r="31" spans="1:12" ht="26.45">
      <c r="A31" s="3950"/>
      <c r="B31" s="3952"/>
      <c r="C31" s="979" t="s">
        <v>805</v>
      </c>
      <c r="D31" s="942" t="s">
        <v>793</v>
      </c>
      <c r="E31" s="758" t="s">
        <v>793</v>
      </c>
      <c r="F31" s="759">
        <v>0.99590000000000001</v>
      </c>
      <c r="G31" s="930">
        <v>0.99970000000000003</v>
      </c>
      <c r="H31" s="939">
        <f>SUM(1/H30)*H29</f>
        <v>0.99999999999999989</v>
      </c>
      <c r="I31" s="939">
        <f t="shared" ref="I31:L31" si="13">SUM(1/I30)*I29</f>
        <v>1</v>
      </c>
      <c r="J31" s="939">
        <f t="shared" si="13"/>
        <v>1</v>
      </c>
      <c r="K31" s="939">
        <f t="shared" si="13"/>
        <v>1</v>
      </c>
      <c r="L31" s="2195" t="e">
        <f t="shared" si="13"/>
        <v>#DIV/0!</v>
      </c>
    </row>
    <row r="32" spans="1:12" ht="26.45">
      <c r="A32" s="3950"/>
      <c r="B32" s="3947" t="s">
        <v>806</v>
      </c>
      <c r="C32" s="979" t="s">
        <v>807</v>
      </c>
      <c r="D32" s="942" t="s">
        <v>793</v>
      </c>
      <c r="E32" s="758" t="s">
        <v>793</v>
      </c>
      <c r="F32" s="760">
        <f>SUM(F29,F26,F23,F20)</f>
        <v>61186</v>
      </c>
      <c r="G32" s="935">
        <f>SUM(G29,G26,G23,G20)</f>
        <v>62367</v>
      </c>
      <c r="H32" s="935">
        <f>SUM(H29,H26,H23,H20)</f>
        <v>5500</v>
      </c>
      <c r="I32" s="935">
        <f t="shared" ref="I32:K32" si="14">SUM(I29,I26,I23,I20)</f>
        <v>15970</v>
      </c>
      <c r="J32" s="935">
        <f t="shared" si="14"/>
        <v>50067</v>
      </c>
      <c r="K32" s="935">
        <f t="shared" si="14"/>
        <v>74864</v>
      </c>
      <c r="L32" s="2196">
        <f>SUM(L29,L26,L23,L20)</f>
        <v>0</v>
      </c>
    </row>
    <row r="33" spans="1:12" ht="26.45">
      <c r="A33" s="3950"/>
      <c r="B33" s="3944"/>
      <c r="C33" s="975" t="s">
        <v>808</v>
      </c>
      <c r="D33" s="941" t="s">
        <v>793</v>
      </c>
      <c r="E33" s="756" t="s">
        <v>793</v>
      </c>
      <c r="F33" s="757">
        <v>539</v>
      </c>
      <c r="G33" s="926">
        <v>1234</v>
      </c>
      <c r="H33" s="926">
        <v>82</v>
      </c>
      <c r="I33" s="2308">
        <v>0</v>
      </c>
      <c r="J33" s="2310">
        <v>0</v>
      </c>
      <c r="K33" s="2308">
        <v>0</v>
      </c>
      <c r="L33" s="2856"/>
    </row>
    <row r="34" spans="1:12" ht="27" thickBot="1">
      <c r="A34" s="3951"/>
      <c r="B34" s="3948"/>
      <c r="C34" s="976" t="s">
        <v>809</v>
      </c>
      <c r="D34" s="965" t="s">
        <v>793</v>
      </c>
      <c r="E34" s="966" t="s">
        <v>793</v>
      </c>
      <c r="F34" s="955">
        <v>3.76</v>
      </c>
      <c r="G34" s="956">
        <v>3.29</v>
      </c>
      <c r="H34" s="956">
        <v>2.36</v>
      </c>
      <c r="I34" s="2085">
        <v>3.4</v>
      </c>
      <c r="J34" s="2086">
        <v>3.9</v>
      </c>
      <c r="K34" s="2087">
        <v>4.5</v>
      </c>
      <c r="L34" s="2859"/>
    </row>
    <row r="35" spans="1:12" ht="27" thickTop="1">
      <c r="A35" s="3940" t="s">
        <v>399</v>
      </c>
      <c r="B35" s="3944" t="s">
        <v>791</v>
      </c>
      <c r="C35" s="682" t="s">
        <v>792</v>
      </c>
      <c r="D35" s="946" t="s">
        <v>793</v>
      </c>
      <c r="E35" s="754" t="s">
        <v>793</v>
      </c>
      <c r="F35" s="755">
        <v>76632</v>
      </c>
      <c r="G35" s="933">
        <v>81199</v>
      </c>
      <c r="H35" s="933">
        <v>7502</v>
      </c>
      <c r="I35" s="2080">
        <v>24886</v>
      </c>
      <c r="J35" s="2081">
        <v>63329</v>
      </c>
      <c r="K35" s="2076">
        <v>96648</v>
      </c>
      <c r="L35" s="2854"/>
    </row>
    <row r="36" spans="1:12" ht="26.45">
      <c r="A36" s="3940"/>
      <c r="B36" s="3944"/>
      <c r="C36" s="978" t="s">
        <v>794</v>
      </c>
      <c r="D36" s="941" t="s">
        <v>793</v>
      </c>
      <c r="E36" s="756" t="s">
        <v>793</v>
      </c>
      <c r="F36" s="757">
        <f>F35*F37</f>
        <v>76632</v>
      </c>
      <c r="G36" s="926">
        <f>G35*G37</f>
        <v>81199</v>
      </c>
      <c r="H36" s="926">
        <v>6914</v>
      </c>
      <c r="I36" s="2080">
        <v>24886</v>
      </c>
      <c r="J36" s="2081">
        <v>63329</v>
      </c>
      <c r="K36" s="2080">
        <v>96648</v>
      </c>
      <c r="L36" s="2854"/>
    </row>
    <row r="37" spans="1:12" ht="39.6">
      <c r="A37" s="3940"/>
      <c r="B37" s="3944"/>
      <c r="C37" s="979" t="s">
        <v>795</v>
      </c>
      <c r="D37" s="942" t="s">
        <v>793</v>
      </c>
      <c r="E37" s="758" t="s">
        <v>793</v>
      </c>
      <c r="F37" s="759">
        <v>1</v>
      </c>
      <c r="G37" s="930">
        <v>1</v>
      </c>
      <c r="H37" s="937">
        <f>SUM(1/H35)*H36</f>
        <v>0.92162090109304184</v>
      </c>
      <c r="I37" s="937">
        <f t="shared" ref="I37:L37" si="15">SUM(1/I35)*I36</f>
        <v>1</v>
      </c>
      <c r="J37" s="937">
        <f t="shared" si="15"/>
        <v>1</v>
      </c>
      <c r="K37" s="937">
        <f t="shared" si="15"/>
        <v>1</v>
      </c>
      <c r="L37" s="937" t="e">
        <f t="shared" si="15"/>
        <v>#DIV/0!</v>
      </c>
    </row>
    <row r="38" spans="1:12" ht="26.45">
      <c r="A38" s="3940"/>
      <c r="B38" s="3944"/>
      <c r="C38" s="978" t="s">
        <v>796</v>
      </c>
      <c r="D38" s="941" t="s">
        <v>793</v>
      </c>
      <c r="E38" s="756" t="s">
        <v>793</v>
      </c>
      <c r="F38" s="757">
        <v>25047</v>
      </c>
      <c r="G38" s="926">
        <v>25133</v>
      </c>
      <c r="H38" s="926">
        <v>4427</v>
      </c>
      <c r="I38" s="2080">
        <v>12244</v>
      </c>
      <c r="J38" s="2081">
        <v>24006</v>
      </c>
      <c r="K38" s="2080">
        <v>34422</v>
      </c>
      <c r="L38" s="2854"/>
    </row>
    <row r="39" spans="1:12" ht="26.45">
      <c r="A39" s="3940"/>
      <c r="B39" s="3944"/>
      <c r="C39" s="978" t="s">
        <v>797</v>
      </c>
      <c r="D39" s="941" t="s">
        <v>793</v>
      </c>
      <c r="E39" s="756" t="s">
        <v>793</v>
      </c>
      <c r="F39" s="757">
        <f>F38*F40</f>
        <v>25047</v>
      </c>
      <c r="G39" s="926">
        <f>G38*G40</f>
        <v>25133</v>
      </c>
      <c r="H39" s="926">
        <v>4168</v>
      </c>
      <c r="I39" s="2080">
        <v>12244</v>
      </c>
      <c r="J39" s="2081">
        <v>22200</v>
      </c>
      <c r="K39" s="2080">
        <v>34422</v>
      </c>
      <c r="L39" s="2854"/>
    </row>
    <row r="40" spans="1:12" ht="39.6">
      <c r="A40" s="3940"/>
      <c r="B40" s="3952"/>
      <c r="C40" s="979" t="s">
        <v>798</v>
      </c>
      <c r="D40" s="942" t="s">
        <v>793</v>
      </c>
      <c r="E40" s="758" t="s">
        <v>793</v>
      </c>
      <c r="F40" s="759">
        <v>1</v>
      </c>
      <c r="G40" s="930">
        <v>1</v>
      </c>
      <c r="H40" s="937">
        <f>SUM(1/H38)*H39</f>
        <v>0.94149536932459899</v>
      </c>
      <c r="I40" s="937">
        <f t="shared" ref="I40:L40" si="16">SUM(1/I38)*I39</f>
        <v>1</v>
      </c>
      <c r="J40" s="937">
        <f t="shared" si="16"/>
        <v>0.92476880779805037</v>
      </c>
      <c r="K40" s="937">
        <f t="shared" si="16"/>
        <v>1</v>
      </c>
      <c r="L40" s="937" t="e">
        <f t="shared" si="16"/>
        <v>#DIV/0!</v>
      </c>
    </row>
    <row r="41" spans="1:12" ht="26.45">
      <c r="A41" s="3940"/>
      <c r="B41" s="3947" t="s">
        <v>799</v>
      </c>
      <c r="C41" s="978" t="s">
        <v>800</v>
      </c>
      <c r="D41" s="941" t="s">
        <v>793</v>
      </c>
      <c r="E41" s="756" t="s">
        <v>793</v>
      </c>
      <c r="F41" s="757">
        <v>73359</v>
      </c>
      <c r="G41" s="926">
        <v>74627</v>
      </c>
      <c r="H41" s="926">
        <v>7958</v>
      </c>
      <c r="I41" s="2080">
        <v>26474</v>
      </c>
      <c r="J41" s="2081">
        <v>68813</v>
      </c>
      <c r="K41" s="2080">
        <v>92791</v>
      </c>
      <c r="L41" s="2854"/>
    </row>
    <row r="42" spans="1:12" ht="26.45">
      <c r="A42" s="3940"/>
      <c r="B42" s="3944"/>
      <c r="C42" s="978" t="s">
        <v>801</v>
      </c>
      <c r="D42" s="941" t="s">
        <v>793</v>
      </c>
      <c r="E42" s="756" t="s">
        <v>793</v>
      </c>
      <c r="F42" s="757">
        <f>F41*F43</f>
        <v>71686.414799999999</v>
      </c>
      <c r="G42" s="926">
        <f>G41*G43</f>
        <v>73626.998200000002</v>
      </c>
      <c r="H42" s="926">
        <v>7766</v>
      </c>
      <c r="I42" s="2080">
        <v>25626</v>
      </c>
      <c r="J42" s="2081">
        <v>65097</v>
      </c>
      <c r="K42" s="2080">
        <v>92234</v>
      </c>
      <c r="L42" s="2854"/>
    </row>
    <row r="43" spans="1:12" ht="26.45">
      <c r="A43" s="3940"/>
      <c r="B43" s="3944"/>
      <c r="C43" s="979" t="s">
        <v>802</v>
      </c>
      <c r="D43" s="942" t="s">
        <v>793</v>
      </c>
      <c r="E43" s="758" t="s">
        <v>793</v>
      </c>
      <c r="F43" s="759">
        <v>0.97719999999999996</v>
      </c>
      <c r="G43" s="930">
        <v>0.98660000000000003</v>
      </c>
      <c r="H43" s="937">
        <f>SUM(1/H41)*H42</f>
        <v>0.97587333500879614</v>
      </c>
      <c r="I43" s="937">
        <f t="shared" ref="I43:L43" si="17">SUM(1/I41)*I42</f>
        <v>0.96796857293948779</v>
      </c>
      <c r="J43" s="937">
        <f t="shared" si="17"/>
        <v>0.94599857585049341</v>
      </c>
      <c r="K43" s="937">
        <f t="shared" si="17"/>
        <v>0.99399726266556032</v>
      </c>
      <c r="L43" s="937" t="e">
        <f t="shared" si="17"/>
        <v>#DIV/0!</v>
      </c>
    </row>
    <row r="44" spans="1:12" ht="26.45">
      <c r="A44" s="3940"/>
      <c r="B44" s="3944"/>
      <c r="C44" s="978" t="s">
        <v>803</v>
      </c>
      <c r="D44" s="941" t="s">
        <v>793</v>
      </c>
      <c r="E44" s="756" t="s">
        <v>793</v>
      </c>
      <c r="F44" s="757">
        <v>27618</v>
      </c>
      <c r="G44" s="926">
        <v>22958</v>
      </c>
      <c r="H44" s="926">
        <v>3956</v>
      </c>
      <c r="I44" s="2080">
        <v>9802</v>
      </c>
      <c r="J44" s="2081">
        <v>28156</v>
      </c>
      <c r="K44" s="2080">
        <v>36356</v>
      </c>
      <c r="L44" s="2854"/>
    </row>
    <row r="45" spans="1:12" ht="26.45">
      <c r="A45" s="3940"/>
      <c r="B45" s="3944"/>
      <c r="C45" s="978" t="s">
        <v>804</v>
      </c>
      <c r="D45" s="941" t="s">
        <v>793</v>
      </c>
      <c r="E45" s="756" t="s">
        <v>793</v>
      </c>
      <c r="F45" s="757">
        <f>F44*F46</f>
        <v>27551.716800000002</v>
      </c>
      <c r="G45" s="926">
        <f>G44*G46</f>
        <v>22941.929400000001</v>
      </c>
      <c r="H45" s="926">
        <v>3886</v>
      </c>
      <c r="I45" s="2080">
        <v>9802</v>
      </c>
      <c r="J45" s="2081">
        <v>28156</v>
      </c>
      <c r="K45" s="2080">
        <v>36319</v>
      </c>
      <c r="L45" s="2854"/>
    </row>
    <row r="46" spans="1:12" ht="26.45">
      <c r="A46" s="3940"/>
      <c r="B46" s="3952"/>
      <c r="C46" s="979" t="s">
        <v>805</v>
      </c>
      <c r="D46" s="942" t="s">
        <v>793</v>
      </c>
      <c r="E46" s="758" t="s">
        <v>793</v>
      </c>
      <c r="F46" s="759">
        <v>0.99760000000000004</v>
      </c>
      <c r="G46" s="930">
        <v>0.99929999999999997</v>
      </c>
      <c r="H46" s="937">
        <f>SUM(1/H44)*H45</f>
        <v>0.98230535894843285</v>
      </c>
      <c r="I46" s="937">
        <f t="shared" ref="I46:L46" si="18">SUM(1/I44)*I45</f>
        <v>1</v>
      </c>
      <c r="J46" s="937">
        <f t="shared" si="18"/>
        <v>1</v>
      </c>
      <c r="K46" s="937">
        <f t="shared" si="18"/>
        <v>0.99898228628011887</v>
      </c>
      <c r="L46" s="937" t="e">
        <f t="shared" si="18"/>
        <v>#DIV/0!</v>
      </c>
    </row>
    <row r="47" spans="1:12" ht="26.45">
      <c r="A47" s="3940"/>
      <c r="B47" s="3947" t="s">
        <v>806</v>
      </c>
      <c r="C47" s="979" t="s">
        <v>807</v>
      </c>
      <c r="D47" s="942" t="s">
        <v>793</v>
      </c>
      <c r="E47" s="758" t="s">
        <v>793</v>
      </c>
      <c r="F47" s="760">
        <f>SUM(F44,F41,F38,F35)</f>
        <v>202656</v>
      </c>
      <c r="G47" s="935">
        <f>SUM(G44,G41,G38,G35)</f>
        <v>203917</v>
      </c>
      <c r="H47" s="935">
        <f>SUM(H44,H41,H38,H35)</f>
        <v>23843</v>
      </c>
      <c r="I47" s="935">
        <f t="shared" ref="I47:L47" si="19">SUM(I44,I41,I38,I35)</f>
        <v>73406</v>
      </c>
      <c r="J47" s="935">
        <f t="shared" si="19"/>
        <v>184304</v>
      </c>
      <c r="K47" s="935">
        <f t="shared" si="19"/>
        <v>260217</v>
      </c>
      <c r="L47" s="935">
        <f t="shared" si="19"/>
        <v>0</v>
      </c>
    </row>
    <row r="48" spans="1:12" ht="26.45">
      <c r="A48" s="3940"/>
      <c r="B48" s="3944"/>
      <c r="C48" s="975" t="s">
        <v>808</v>
      </c>
      <c r="D48" s="941" t="s">
        <v>793</v>
      </c>
      <c r="E48" s="756" t="s">
        <v>793</v>
      </c>
      <c r="F48" s="757">
        <v>104</v>
      </c>
      <c r="G48" s="926">
        <v>128</v>
      </c>
      <c r="H48" s="926">
        <v>0</v>
      </c>
      <c r="I48" s="2308">
        <v>0</v>
      </c>
      <c r="J48" s="2310">
        <v>0</v>
      </c>
      <c r="K48" s="2308">
        <v>0</v>
      </c>
      <c r="L48" s="2856"/>
    </row>
    <row r="49" spans="1:12" ht="27" thickBot="1">
      <c r="A49" s="3957"/>
      <c r="B49" s="3948"/>
      <c r="C49" s="976" t="s">
        <v>809</v>
      </c>
      <c r="D49" s="965" t="s">
        <v>793</v>
      </c>
      <c r="E49" s="966" t="s">
        <v>793</v>
      </c>
      <c r="F49" s="955">
        <v>4.1100000000000003</v>
      </c>
      <c r="G49" s="956">
        <v>3.67</v>
      </c>
      <c r="H49" s="968" t="s">
        <v>24</v>
      </c>
      <c r="I49" s="2085" t="s">
        <v>24</v>
      </c>
      <c r="J49" s="2086">
        <v>4.2</v>
      </c>
      <c r="K49" s="2087">
        <v>4.0999999999999996</v>
      </c>
      <c r="L49" s="2859"/>
    </row>
    <row r="50" spans="1:12" ht="27" thickTop="1">
      <c r="A50" s="3940" t="s">
        <v>183</v>
      </c>
      <c r="B50" s="3944" t="s">
        <v>791</v>
      </c>
      <c r="C50" s="682" t="s">
        <v>792</v>
      </c>
      <c r="D50" s="967" t="s">
        <v>793</v>
      </c>
      <c r="E50" s="921" t="s">
        <v>793</v>
      </c>
      <c r="F50" s="771">
        <f t="shared" ref="F50:H51" si="20">SUM(F5,F20,F35)</f>
        <v>224806</v>
      </c>
      <c r="G50" s="936">
        <f t="shared" si="20"/>
        <v>212077</v>
      </c>
      <c r="H50" s="936">
        <f t="shared" si="20"/>
        <v>21210</v>
      </c>
      <c r="I50" s="936">
        <f t="shared" ref="I50:L50" si="21">SUM(I5,I20,I35)</f>
        <v>71704</v>
      </c>
      <c r="J50" s="936">
        <f t="shared" si="21"/>
        <v>202829</v>
      </c>
      <c r="K50" s="936">
        <f t="shared" si="21"/>
        <v>283050</v>
      </c>
      <c r="L50" s="936">
        <f t="shared" si="21"/>
        <v>0</v>
      </c>
    </row>
    <row r="51" spans="1:12" ht="26.45">
      <c r="A51" s="3940"/>
      <c r="B51" s="3944"/>
      <c r="C51" s="978" t="s">
        <v>794</v>
      </c>
      <c r="D51" s="942" t="s">
        <v>793</v>
      </c>
      <c r="E51" s="758" t="s">
        <v>793</v>
      </c>
      <c r="F51" s="760">
        <f t="shared" si="20"/>
        <v>223510.85649999999</v>
      </c>
      <c r="G51" s="935">
        <f t="shared" si="20"/>
        <v>211929.52539999998</v>
      </c>
      <c r="H51" s="935">
        <f t="shared" si="20"/>
        <v>20591</v>
      </c>
      <c r="I51" s="935">
        <f t="shared" ref="I51:L51" si="22">SUM(I6,I21,I36)</f>
        <v>71384</v>
      </c>
      <c r="J51" s="935">
        <f t="shared" si="22"/>
        <v>202710</v>
      </c>
      <c r="K51" s="935">
        <f t="shared" si="22"/>
        <v>282740</v>
      </c>
      <c r="L51" s="935">
        <f t="shared" si="22"/>
        <v>0</v>
      </c>
    </row>
    <row r="52" spans="1:12" ht="39.6">
      <c r="A52" s="3940"/>
      <c r="B52" s="3944"/>
      <c r="C52" s="975" t="s">
        <v>795</v>
      </c>
      <c r="D52" s="942" t="s">
        <v>793</v>
      </c>
      <c r="E52" s="758" t="s">
        <v>793</v>
      </c>
      <c r="F52" s="759">
        <f>F51/F50</f>
        <v>0.99423883926585588</v>
      </c>
      <c r="G52" s="930">
        <f>G51/G50</f>
        <v>0.99930461766245271</v>
      </c>
      <c r="H52" s="930">
        <f>H51/H50</f>
        <v>0.97081565299387085</v>
      </c>
      <c r="I52" s="930">
        <f t="shared" ref="I52:L52" si="23">I51/I50</f>
        <v>0.99553720852393168</v>
      </c>
      <c r="J52" s="930">
        <f t="shared" si="23"/>
        <v>0.99941329888723995</v>
      </c>
      <c r="K52" s="930">
        <f t="shared" si="23"/>
        <v>0.99890478714008124</v>
      </c>
      <c r="L52" s="930" t="e">
        <f t="shared" si="23"/>
        <v>#DIV/0!</v>
      </c>
    </row>
    <row r="53" spans="1:12" ht="26.45">
      <c r="A53" s="3940"/>
      <c r="B53" s="3944"/>
      <c r="C53" s="978" t="s">
        <v>796</v>
      </c>
      <c r="D53" s="942" t="s">
        <v>793</v>
      </c>
      <c r="E53" s="758" t="s">
        <v>793</v>
      </c>
      <c r="F53" s="760">
        <f t="shared" ref="F53:H54" si="24">SUM(F8,F23,F38)</f>
        <v>100583</v>
      </c>
      <c r="G53" s="935">
        <f t="shared" si="24"/>
        <v>81577</v>
      </c>
      <c r="H53" s="935">
        <f t="shared" si="24"/>
        <v>12153</v>
      </c>
      <c r="I53" s="935">
        <f t="shared" ref="I53:L53" si="25">SUM(I8,I23,I38)</f>
        <v>34264</v>
      </c>
      <c r="J53" s="935">
        <f t="shared" si="25"/>
        <v>158745</v>
      </c>
      <c r="K53" s="935">
        <f t="shared" si="25"/>
        <v>199468</v>
      </c>
      <c r="L53" s="935">
        <f t="shared" si="25"/>
        <v>0</v>
      </c>
    </row>
    <row r="54" spans="1:12" ht="26.45">
      <c r="A54" s="3940"/>
      <c r="B54" s="3944"/>
      <c r="C54" s="978" t="s">
        <v>797</v>
      </c>
      <c r="D54" s="942" t="s">
        <v>793</v>
      </c>
      <c r="E54" s="758" t="s">
        <v>793</v>
      </c>
      <c r="F54" s="760">
        <f t="shared" si="24"/>
        <v>100316.80619999999</v>
      </c>
      <c r="G54" s="935">
        <f t="shared" si="24"/>
        <v>81556.552800000005</v>
      </c>
      <c r="H54" s="935">
        <f t="shared" si="24"/>
        <v>11891</v>
      </c>
      <c r="I54" s="935">
        <f t="shared" ref="I54:L54" si="26">SUM(I9,I24,I39)</f>
        <v>34222</v>
      </c>
      <c r="J54" s="935">
        <f t="shared" si="26"/>
        <v>156926</v>
      </c>
      <c r="K54" s="935">
        <f t="shared" si="26"/>
        <v>199468</v>
      </c>
      <c r="L54" s="935">
        <f t="shared" si="26"/>
        <v>0</v>
      </c>
    </row>
    <row r="55" spans="1:12" ht="39.6">
      <c r="A55" s="3940"/>
      <c r="B55" s="3952"/>
      <c r="C55" s="975" t="s">
        <v>798</v>
      </c>
      <c r="D55" s="942" t="s">
        <v>793</v>
      </c>
      <c r="E55" s="758" t="s">
        <v>793</v>
      </c>
      <c r="F55" s="759">
        <f>F54/F53</f>
        <v>0.9973534911466152</v>
      </c>
      <c r="G55" s="930">
        <f>G54/G53</f>
        <v>0.99974935091998973</v>
      </c>
      <c r="H55" s="930">
        <f>H54/H53</f>
        <v>0.97844153706903647</v>
      </c>
      <c r="I55" s="930">
        <f t="shared" ref="I55:L55" si="27">I54/I53</f>
        <v>0.99877422367499413</v>
      </c>
      <c r="J55" s="930">
        <f t="shared" si="27"/>
        <v>0.98854137138177578</v>
      </c>
      <c r="K55" s="930">
        <f t="shared" si="27"/>
        <v>1</v>
      </c>
      <c r="L55" s="930" t="e">
        <f t="shared" si="27"/>
        <v>#DIV/0!</v>
      </c>
    </row>
    <row r="56" spans="1:12" ht="26.45">
      <c r="A56" s="3940"/>
      <c r="B56" s="3947" t="s">
        <v>799</v>
      </c>
      <c r="C56" s="978" t="s">
        <v>800</v>
      </c>
      <c r="D56" s="942" t="s">
        <v>793</v>
      </c>
      <c r="E56" s="758" t="s">
        <v>793</v>
      </c>
      <c r="F56" s="760">
        <f t="shared" ref="F56:H57" si="28">SUM(F11,F26,F41)</f>
        <v>212984</v>
      </c>
      <c r="G56" s="935">
        <f t="shared" si="28"/>
        <v>203403</v>
      </c>
      <c r="H56" s="935">
        <f t="shared" si="28"/>
        <v>21920</v>
      </c>
      <c r="I56" s="935">
        <f t="shared" ref="I56:L56" si="29">SUM(I11,I26,I41)</f>
        <v>73739</v>
      </c>
      <c r="J56" s="935">
        <f t="shared" si="29"/>
        <v>221224</v>
      </c>
      <c r="K56" s="935">
        <f t="shared" si="29"/>
        <v>284764</v>
      </c>
      <c r="L56" s="935">
        <f t="shared" si="29"/>
        <v>0</v>
      </c>
    </row>
    <row r="57" spans="1:12" ht="26.45">
      <c r="A57" s="3940"/>
      <c r="B57" s="3944"/>
      <c r="C57" s="978" t="s">
        <v>801</v>
      </c>
      <c r="D57" s="942" t="s">
        <v>793</v>
      </c>
      <c r="E57" s="758" t="s">
        <v>793</v>
      </c>
      <c r="F57" s="760">
        <f t="shared" si="28"/>
        <v>206688.2775</v>
      </c>
      <c r="G57" s="935">
        <f t="shared" si="28"/>
        <v>199274.9754</v>
      </c>
      <c r="H57" s="935">
        <f t="shared" si="28"/>
        <v>21675</v>
      </c>
      <c r="I57" s="935">
        <f t="shared" ref="I57:L57" si="30">SUM(I12,I27,I42)</f>
        <v>72229</v>
      </c>
      <c r="J57" s="935">
        <f t="shared" si="30"/>
        <v>207916</v>
      </c>
      <c r="K57" s="935">
        <f t="shared" si="30"/>
        <v>283536</v>
      </c>
      <c r="L57" s="935">
        <f t="shared" si="30"/>
        <v>0</v>
      </c>
    </row>
    <row r="58" spans="1:12" ht="27" thickBot="1">
      <c r="A58" s="3940"/>
      <c r="B58" s="3944"/>
      <c r="C58" s="975" t="s">
        <v>802</v>
      </c>
      <c r="D58" s="942" t="s">
        <v>793</v>
      </c>
      <c r="E58" s="762" t="s">
        <v>793</v>
      </c>
      <c r="F58" s="759">
        <f>F57/F56</f>
        <v>0.97044039693122486</v>
      </c>
      <c r="G58" s="930">
        <f>G57/G56</f>
        <v>0.97970519313874427</v>
      </c>
      <c r="H58" s="930">
        <f>H57/H56</f>
        <v>0.98882299270072993</v>
      </c>
      <c r="I58" s="930">
        <f t="shared" ref="I58:L58" si="31">I57/I56</f>
        <v>0.97952236943815352</v>
      </c>
      <c r="J58" s="930">
        <f t="shared" si="31"/>
        <v>0.93984377825190757</v>
      </c>
      <c r="K58" s="930">
        <f t="shared" si="31"/>
        <v>0.99568765714767316</v>
      </c>
      <c r="L58" s="930" t="e">
        <f t="shared" si="31"/>
        <v>#DIV/0!</v>
      </c>
    </row>
    <row r="59" spans="1:12" ht="26.45">
      <c r="A59" s="3940"/>
      <c r="B59" s="3944"/>
      <c r="C59" s="978" t="s">
        <v>803</v>
      </c>
      <c r="D59" s="947" t="s">
        <v>793</v>
      </c>
      <c r="E59" s="763" t="s">
        <v>793</v>
      </c>
      <c r="F59" s="760">
        <f t="shared" ref="F59:H60" si="32">SUM(F14,F29,F44)</f>
        <v>75910</v>
      </c>
      <c r="G59" s="935">
        <f t="shared" si="32"/>
        <v>80683</v>
      </c>
      <c r="H59" s="935">
        <f t="shared" si="32"/>
        <v>13664</v>
      </c>
      <c r="I59" s="935">
        <f t="shared" ref="I59:L59" si="33">SUM(I14,I29,I44)</f>
        <v>35787</v>
      </c>
      <c r="J59" s="935">
        <f t="shared" si="33"/>
        <v>93415</v>
      </c>
      <c r="K59" s="935">
        <f t="shared" si="33"/>
        <v>121758</v>
      </c>
      <c r="L59" s="935">
        <f t="shared" si="33"/>
        <v>0</v>
      </c>
    </row>
    <row r="60" spans="1:12" ht="26.45">
      <c r="A60" s="3940"/>
      <c r="B60" s="3944"/>
      <c r="C60" s="978" t="s">
        <v>804</v>
      </c>
      <c r="D60" s="947" t="s">
        <v>793</v>
      </c>
      <c r="E60" s="764" t="s">
        <v>793</v>
      </c>
      <c r="F60" s="760">
        <f t="shared" si="32"/>
        <v>74703.479800000001</v>
      </c>
      <c r="G60" s="935">
        <f t="shared" si="32"/>
        <v>80073.55799999999</v>
      </c>
      <c r="H60" s="935">
        <f t="shared" si="32"/>
        <v>13588</v>
      </c>
      <c r="I60" s="935">
        <f t="shared" ref="I60:L60" si="34">SUM(I15,I30,I45)</f>
        <v>35662</v>
      </c>
      <c r="J60" s="935">
        <f t="shared" si="34"/>
        <v>92362</v>
      </c>
      <c r="K60" s="935">
        <f t="shared" si="34"/>
        <v>121721</v>
      </c>
      <c r="L60" s="935">
        <f t="shared" si="34"/>
        <v>0</v>
      </c>
    </row>
    <row r="61" spans="1:12" ht="26.45">
      <c r="A61" s="3940"/>
      <c r="B61" s="3952"/>
      <c r="C61" s="975" t="s">
        <v>805</v>
      </c>
      <c r="D61" s="947" t="s">
        <v>793</v>
      </c>
      <c r="E61" s="764" t="s">
        <v>793</v>
      </c>
      <c r="F61" s="759">
        <f>F60/F59</f>
        <v>0.98410591226452382</v>
      </c>
      <c r="G61" s="930">
        <f>G60/G59</f>
        <v>0.99244646331941044</v>
      </c>
      <c r="H61" s="930">
        <f>H60/H59</f>
        <v>0.99443793911007028</v>
      </c>
      <c r="I61" s="930">
        <f t="shared" ref="I61:L61" si="35">I60/I59</f>
        <v>0.9965071115209434</v>
      </c>
      <c r="J61" s="930">
        <f t="shared" si="35"/>
        <v>0.98872772038751811</v>
      </c>
      <c r="K61" s="930">
        <f t="shared" si="35"/>
        <v>0.99969611853019924</v>
      </c>
      <c r="L61" s="930" t="e">
        <f t="shared" si="35"/>
        <v>#DIV/0!</v>
      </c>
    </row>
    <row r="62" spans="1:12" ht="26.45">
      <c r="A62" s="3940"/>
      <c r="B62" s="3947" t="s">
        <v>806</v>
      </c>
      <c r="C62" s="974" t="s">
        <v>810</v>
      </c>
      <c r="D62" s="947" t="s">
        <v>793</v>
      </c>
      <c r="E62" s="764" t="s">
        <v>793</v>
      </c>
      <c r="F62" s="760">
        <f t="shared" ref="F62:H63" si="36">SUM(F17,F32,F47)</f>
        <v>614283</v>
      </c>
      <c r="G62" s="935">
        <f t="shared" si="36"/>
        <v>577740</v>
      </c>
      <c r="H62" s="935">
        <f t="shared" si="36"/>
        <v>68947</v>
      </c>
      <c r="I62" s="935">
        <f t="shared" ref="I62:L62" si="37">SUM(I17,I32,I47)</f>
        <v>215494</v>
      </c>
      <c r="J62" s="935">
        <f t="shared" si="37"/>
        <v>676213</v>
      </c>
      <c r="K62" s="935">
        <f t="shared" si="37"/>
        <v>889040</v>
      </c>
      <c r="L62" s="935">
        <f t="shared" si="37"/>
        <v>0</v>
      </c>
    </row>
    <row r="63" spans="1:12" ht="26.45">
      <c r="A63" s="3940"/>
      <c r="B63" s="3944"/>
      <c r="C63" s="975" t="s">
        <v>808</v>
      </c>
      <c r="D63" s="947" t="s">
        <v>793</v>
      </c>
      <c r="E63" s="764" t="s">
        <v>793</v>
      </c>
      <c r="F63" s="760">
        <f t="shared" si="36"/>
        <v>1303</v>
      </c>
      <c r="G63" s="935">
        <f t="shared" si="36"/>
        <v>3439</v>
      </c>
      <c r="H63" s="935">
        <f t="shared" si="36"/>
        <v>243</v>
      </c>
      <c r="I63" s="935">
        <f t="shared" ref="I63:L63" si="38">SUM(I18,I33,I48)</f>
        <v>0</v>
      </c>
      <c r="J63" s="935">
        <f t="shared" si="38"/>
        <v>0</v>
      </c>
      <c r="K63" s="935">
        <f t="shared" si="38"/>
        <v>0</v>
      </c>
      <c r="L63" s="935">
        <f t="shared" si="38"/>
        <v>0</v>
      </c>
    </row>
    <row r="64" spans="1:12" ht="27" thickBot="1">
      <c r="A64" s="3940"/>
      <c r="B64" s="3948"/>
      <c r="C64" s="976" t="s">
        <v>809</v>
      </c>
      <c r="D64" s="948" t="s">
        <v>793</v>
      </c>
      <c r="E64" s="949" t="s">
        <v>793</v>
      </c>
      <c r="F64" s="2197">
        <f>((F49*F47)+(F34*F32)+(F19*F17))/F62</f>
        <v>3.9667453600376379</v>
      </c>
      <c r="G64" s="2198">
        <f>((G49*G47)+(G34*G32)+(G19*G17))/G62</f>
        <v>3.7853161975975356</v>
      </c>
      <c r="H64" s="2198">
        <f>((H34*H32)+(H19*H17))/((H17+H32))</f>
        <v>4.063435615466477</v>
      </c>
      <c r="I64" s="2198">
        <f t="shared" ref="I64:L64" si="39">((I34*I32)+(I19*I17))/((I17+I32))</f>
        <v>7.3054614042002139</v>
      </c>
      <c r="J64" s="2198" t="e">
        <f t="shared" si="39"/>
        <v>#VALUE!</v>
      </c>
      <c r="K64" s="2198">
        <f t="shared" si="39"/>
        <v>4.2357162508368811</v>
      </c>
      <c r="L64" s="2198" t="e">
        <f t="shared" si="39"/>
        <v>#DIV/0!</v>
      </c>
    </row>
    <row r="65" spans="1:1" ht="15" thickTop="1">
      <c r="A65" s="969"/>
    </row>
  </sheetData>
  <mergeCells count="20">
    <mergeCell ref="A50:A64"/>
    <mergeCell ref="B50:B55"/>
    <mergeCell ref="B56:B61"/>
    <mergeCell ref="B62:B64"/>
    <mergeCell ref="A35:A49"/>
    <mergeCell ref="B35:B40"/>
    <mergeCell ref="B41:B46"/>
    <mergeCell ref="B47:B49"/>
    <mergeCell ref="A20:A34"/>
    <mergeCell ref="B20:B25"/>
    <mergeCell ref="B26:B31"/>
    <mergeCell ref="B32:B34"/>
    <mergeCell ref="A3:A4"/>
    <mergeCell ref="B3:B4"/>
    <mergeCell ref="D3:L3"/>
    <mergeCell ref="C3:C4"/>
    <mergeCell ref="A5:A19"/>
    <mergeCell ref="B5:B10"/>
    <mergeCell ref="B11:B16"/>
    <mergeCell ref="B17:B19"/>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A41E9-A1E4-4207-86AE-7DFC4269A6FA}">
  <sheetPr codeName="Sheet22">
    <tabColor theme="0"/>
  </sheetPr>
  <dimension ref="A1:D40"/>
  <sheetViews>
    <sheetView showGridLines="0" workbookViewId="0">
      <selection sqref="A1:C1"/>
    </sheetView>
  </sheetViews>
  <sheetFormatPr defaultColWidth="9.140625" defaultRowHeight="13.9"/>
  <cols>
    <col min="1" max="1" width="9.140625" style="8"/>
    <col min="2" max="4" width="56.42578125" style="8" customWidth="1"/>
    <col min="5" max="16384" width="9.140625" style="8"/>
  </cols>
  <sheetData>
    <row r="1" spans="1:4" ht="20.25" customHeight="1">
      <c r="A1" s="3866" t="s">
        <v>811</v>
      </c>
      <c r="B1" s="4476"/>
      <c r="C1" s="4476"/>
    </row>
    <row r="2" spans="1:4" ht="20.25" customHeight="1">
      <c r="A2" s="3866" t="s">
        <v>650</v>
      </c>
      <c r="B2" s="3867"/>
      <c r="C2" s="3868"/>
    </row>
    <row r="3" spans="1:4" ht="20.25" customHeight="1">
      <c r="A3" s="3866" t="s">
        <v>812</v>
      </c>
      <c r="B3" s="3958"/>
      <c r="C3" s="3958"/>
    </row>
    <row r="4" spans="1:4" ht="20.25" customHeight="1" thickBot="1">
      <c r="A4" s="11"/>
      <c r="B4" s="25"/>
      <c r="C4" s="25"/>
    </row>
    <row r="5" spans="1:4" ht="14.45" thickBot="1">
      <c r="B5" s="177" t="s">
        <v>813</v>
      </c>
      <c r="C5" s="3959" t="s">
        <v>814</v>
      </c>
      <c r="D5" s="3960"/>
    </row>
    <row r="6" spans="1:4" ht="14.45" thickTop="1">
      <c r="B6" s="3961" t="s">
        <v>815</v>
      </c>
      <c r="C6" s="3962"/>
      <c r="D6" s="3963"/>
    </row>
    <row r="7" spans="1:4">
      <c r="B7" s="3964" t="s">
        <v>816</v>
      </c>
      <c r="C7" s="3965"/>
      <c r="D7" s="3966"/>
    </row>
    <row r="8" spans="1:4">
      <c r="B8" s="3964" t="s">
        <v>817</v>
      </c>
      <c r="C8" s="3965"/>
      <c r="D8" s="3966"/>
    </row>
    <row r="9" spans="1:4">
      <c r="B9" s="3964" t="s">
        <v>818</v>
      </c>
      <c r="C9" s="3965"/>
      <c r="D9" s="3966"/>
    </row>
    <row r="10" spans="1:4">
      <c r="B10" s="3964" t="s">
        <v>819</v>
      </c>
      <c r="C10" s="3965"/>
      <c r="D10" s="3966"/>
    </row>
    <row r="11" spans="1:4">
      <c r="B11" s="3964" t="s">
        <v>820</v>
      </c>
      <c r="C11" s="3965"/>
      <c r="D11" s="3966"/>
    </row>
    <row r="12" spans="1:4">
      <c r="B12" s="3964" t="s">
        <v>821</v>
      </c>
      <c r="C12" s="3965"/>
      <c r="D12" s="3966"/>
    </row>
    <row r="13" spans="1:4">
      <c r="B13" s="3964" t="s">
        <v>822</v>
      </c>
      <c r="C13" s="3965"/>
      <c r="D13" s="3966"/>
    </row>
    <row r="14" spans="1:4">
      <c r="B14" s="3964" t="s">
        <v>823</v>
      </c>
      <c r="C14" s="3965"/>
      <c r="D14" s="3966"/>
    </row>
    <row r="15" spans="1:4" ht="14.45" thickBot="1">
      <c r="B15" s="3967" t="s">
        <v>824</v>
      </c>
      <c r="C15" s="3968"/>
      <c r="D15" s="3969"/>
    </row>
    <row r="16" spans="1:4" ht="14.45" thickBot="1">
      <c r="B16" s="171"/>
      <c r="C16" s="172"/>
      <c r="D16" s="173"/>
    </row>
    <row r="17" spans="2:4" ht="14.45" thickBot="1">
      <c r="B17" s="3970" t="s">
        <v>825</v>
      </c>
      <c r="C17" s="3971"/>
      <c r="D17" s="3972"/>
    </row>
    <row r="18" spans="2:4">
      <c r="B18" s="3973" t="s">
        <v>826</v>
      </c>
      <c r="C18" s="3974"/>
      <c r="D18" s="3975"/>
    </row>
    <row r="19" spans="2:4" ht="14.45" thickBot="1">
      <c r="B19" s="3967" t="s">
        <v>827</v>
      </c>
      <c r="C19" s="3968"/>
      <c r="D19" s="3969"/>
    </row>
    <row r="20" spans="2:4" ht="14.45" thickBot="1">
      <c r="B20" s="171"/>
      <c r="C20" s="172"/>
      <c r="D20" s="173"/>
    </row>
    <row r="21" spans="2:4" ht="14.45" thickBot="1">
      <c r="B21" s="174" t="s">
        <v>828</v>
      </c>
      <c r="C21" s="3970" t="s">
        <v>829</v>
      </c>
      <c r="D21" s="3972"/>
    </row>
    <row r="22" spans="2:4">
      <c r="B22" s="165" t="s">
        <v>830</v>
      </c>
      <c r="C22" s="3976" t="s">
        <v>831</v>
      </c>
      <c r="D22" s="3977"/>
    </row>
    <row r="23" spans="2:4" ht="26.45">
      <c r="B23" s="166" t="s">
        <v>832</v>
      </c>
      <c r="C23" s="3978" t="s">
        <v>833</v>
      </c>
      <c r="D23" s="3979"/>
    </row>
    <row r="24" spans="2:4" ht="26.45">
      <c r="B24" s="166" t="s">
        <v>834</v>
      </c>
      <c r="C24" s="3978" t="s">
        <v>835</v>
      </c>
      <c r="D24" s="3979"/>
    </row>
    <row r="25" spans="2:4">
      <c r="B25" s="166" t="s">
        <v>836</v>
      </c>
      <c r="C25" s="3978" t="s">
        <v>837</v>
      </c>
      <c r="D25" s="3979"/>
    </row>
    <row r="26" spans="2:4">
      <c r="B26" s="166" t="s">
        <v>838</v>
      </c>
      <c r="C26" s="3978" t="s">
        <v>839</v>
      </c>
      <c r="D26" s="3979"/>
    </row>
    <row r="27" spans="2:4" ht="23.25" customHeight="1">
      <c r="B27" s="166" t="s">
        <v>840</v>
      </c>
      <c r="C27" s="3978" t="s">
        <v>841</v>
      </c>
      <c r="D27" s="3979"/>
    </row>
    <row r="28" spans="2:4" ht="27" thickBot="1">
      <c r="B28" s="167" t="s">
        <v>842</v>
      </c>
      <c r="C28" s="3985" t="s">
        <v>843</v>
      </c>
      <c r="D28" s="3986"/>
    </row>
    <row r="29" spans="2:4" ht="14.45" thickBot="1">
      <c r="B29" s="170"/>
      <c r="C29" s="175"/>
      <c r="D29" s="176"/>
    </row>
    <row r="30" spans="2:4" ht="14.45" thickBot="1">
      <c r="B30" s="3970" t="s">
        <v>844</v>
      </c>
      <c r="C30" s="3971"/>
      <c r="D30" s="3972"/>
    </row>
    <row r="31" spans="2:4">
      <c r="B31" s="168" t="s">
        <v>845</v>
      </c>
      <c r="C31" s="3980" t="s">
        <v>846</v>
      </c>
      <c r="D31" s="3982"/>
    </row>
    <row r="32" spans="2:4">
      <c r="B32" s="169" t="s">
        <v>847</v>
      </c>
      <c r="C32" s="3981"/>
      <c r="D32" s="3983"/>
    </row>
    <row r="33" spans="2:4">
      <c r="B33" s="169" t="s">
        <v>848</v>
      </c>
      <c r="C33" s="3981"/>
      <c r="D33" s="3983"/>
    </row>
    <row r="34" spans="2:4">
      <c r="B34" s="169" t="s">
        <v>849</v>
      </c>
      <c r="C34" s="3981"/>
      <c r="D34" s="3983"/>
    </row>
    <row r="35" spans="2:4">
      <c r="B35" s="169" t="s">
        <v>850</v>
      </c>
      <c r="C35" s="3981"/>
      <c r="D35" s="3983"/>
    </row>
    <row r="36" spans="2:4">
      <c r="B36" s="169" t="s">
        <v>851</v>
      </c>
      <c r="C36" s="3981"/>
      <c r="D36" s="3983"/>
    </row>
    <row r="37" spans="2:4">
      <c r="B37" s="169" t="s">
        <v>852</v>
      </c>
      <c r="C37" s="3981"/>
      <c r="D37" s="3983"/>
    </row>
    <row r="38" spans="2:4">
      <c r="B38" s="169" t="s">
        <v>853</v>
      </c>
      <c r="C38" s="3981"/>
      <c r="D38" s="3983"/>
    </row>
    <row r="39" spans="2:4" ht="14.45" thickBot="1">
      <c r="B39" s="170" t="s">
        <v>854</v>
      </c>
      <c r="C39" s="3981"/>
      <c r="D39" s="3984"/>
    </row>
    <row r="40" spans="2:4">
      <c r="B40" s="6"/>
      <c r="C40" s="6"/>
      <c r="D40" s="6"/>
    </row>
  </sheetData>
  <mergeCells count="28">
    <mergeCell ref="B30:D30"/>
    <mergeCell ref="C31:C39"/>
    <mergeCell ref="D31:D39"/>
    <mergeCell ref="C24:D24"/>
    <mergeCell ref="C25:D25"/>
    <mergeCell ref="C26:D26"/>
    <mergeCell ref="C27:D27"/>
    <mergeCell ref="C28:D28"/>
    <mergeCell ref="B18:D18"/>
    <mergeCell ref="B19:D19"/>
    <mergeCell ref="C21:D21"/>
    <mergeCell ref="C22:D22"/>
    <mergeCell ref="C23:D23"/>
    <mergeCell ref="B12:D12"/>
    <mergeCell ref="B13:D13"/>
    <mergeCell ref="B14:D14"/>
    <mergeCell ref="B15:D15"/>
    <mergeCell ref="B17:D17"/>
    <mergeCell ref="B7:D7"/>
    <mergeCell ref="B8:D8"/>
    <mergeCell ref="B9:D9"/>
    <mergeCell ref="B10:D10"/>
    <mergeCell ref="B11:D11"/>
    <mergeCell ref="A1:C1"/>
    <mergeCell ref="A2:C2"/>
    <mergeCell ref="A3:C3"/>
    <mergeCell ref="C5:D5"/>
    <mergeCell ref="B6:D6"/>
  </mergeCells>
  <pageMargins left="0.7" right="0.7" top="0.75" bottom="0.75" header="0.3" footer="0.3"/>
  <headerFooter>
    <oddFooter>&amp;C_x000D_&amp;1#&amp;"Calibri"&amp;10&amp;K000000 C2 - Internal</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45466-DD81-4A15-8B66-E482F8BAB978}">
  <sheetPr codeName="Sheet23">
    <tabColor theme="0"/>
  </sheetPr>
  <dimension ref="A1:P24"/>
  <sheetViews>
    <sheetView showGridLines="0" workbookViewId="0"/>
  </sheetViews>
  <sheetFormatPr defaultRowHeight="17.45"/>
  <cols>
    <col min="1" max="1" width="3.42578125" customWidth="1"/>
    <col min="2" max="2" width="68.7109375" style="11" customWidth="1"/>
    <col min="3" max="3" width="11.5703125" bestFit="1" customWidth="1"/>
    <col min="4" max="4" width="11.42578125" customWidth="1"/>
    <col min="5" max="5" width="9.85546875" customWidth="1"/>
    <col min="10" max="10" width="9.85546875" customWidth="1"/>
    <col min="11" max="11" width="13" bestFit="1" customWidth="1"/>
    <col min="12" max="12" width="11" bestFit="1" customWidth="1"/>
    <col min="14" max="14" width="9.85546875" bestFit="1" customWidth="1"/>
  </cols>
  <sheetData>
    <row r="1" spans="1:14">
      <c r="B1" s="11" t="s">
        <v>855</v>
      </c>
      <c r="C1" s="11"/>
      <c r="D1" s="11"/>
      <c r="E1" s="11"/>
      <c r="J1" s="11"/>
    </row>
    <row r="2" spans="1:14">
      <c r="B2" s="11" t="s">
        <v>856</v>
      </c>
    </row>
    <row r="3" spans="1:14" ht="18" thickBot="1"/>
    <row r="4" spans="1:14" ht="14.45">
      <c r="B4" s="1015"/>
      <c r="C4" s="1639" t="s">
        <v>15</v>
      </c>
      <c r="D4" s="1640" t="s">
        <v>16</v>
      </c>
      <c r="E4" s="3990" t="s">
        <v>163</v>
      </c>
      <c r="F4" s="3991"/>
      <c r="G4" s="3991"/>
      <c r="H4" s="3992"/>
      <c r="I4" s="3993"/>
      <c r="J4" s="3990" t="s">
        <v>164</v>
      </c>
      <c r="K4" s="3991"/>
      <c r="L4" s="3991"/>
      <c r="M4" s="3992"/>
      <c r="N4" s="3993"/>
    </row>
    <row r="5" spans="1:14" ht="14.45">
      <c r="B5" s="1012"/>
      <c r="C5" s="1644" t="s">
        <v>857</v>
      </c>
      <c r="D5" s="1645" t="s">
        <v>857</v>
      </c>
      <c r="E5" s="1646" t="s">
        <v>483</v>
      </c>
      <c r="F5" s="1647" t="s">
        <v>484</v>
      </c>
      <c r="G5" s="1647" t="s">
        <v>485</v>
      </c>
      <c r="H5" s="1648" t="s">
        <v>858</v>
      </c>
      <c r="I5" s="1649" t="s">
        <v>857</v>
      </c>
      <c r="J5" s="1646" t="s">
        <v>483</v>
      </c>
      <c r="K5" s="1647" t="s">
        <v>484</v>
      </c>
      <c r="L5" s="1647" t="s">
        <v>485</v>
      </c>
      <c r="M5" s="3132" t="s">
        <v>859</v>
      </c>
      <c r="N5" s="1649" t="s">
        <v>857</v>
      </c>
    </row>
    <row r="6" spans="1:14" ht="14.45">
      <c r="A6" s="3989"/>
      <c r="B6" s="1298" t="s">
        <v>860</v>
      </c>
      <c r="C6" s="1300">
        <v>13.18</v>
      </c>
      <c r="D6" s="1301" t="s">
        <v>24</v>
      </c>
      <c r="E6" s="1302" t="s">
        <v>24</v>
      </c>
      <c r="F6" s="1303" t="s">
        <v>24</v>
      </c>
      <c r="G6" s="1303" t="s">
        <v>24</v>
      </c>
      <c r="H6" s="1303" t="s">
        <v>24</v>
      </c>
      <c r="I6" s="1313">
        <v>6.57</v>
      </c>
      <c r="J6" s="1302" t="s">
        <v>24</v>
      </c>
      <c r="K6" s="1303" t="s">
        <v>24</v>
      </c>
      <c r="L6" s="1303" t="s">
        <v>24</v>
      </c>
      <c r="M6" s="1303" t="s">
        <v>24</v>
      </c>
      <c r="N6" s="3189">
        <f>SUM(J6:M6)</f>
        <v>0</v>
      </c>
    </row>
    <row r="7" spans="1:14" ht="14.45">
      <c r="A7" s="3989"/>
      <c r="B7" s="1299" t="s">
        <v>861</v>
      </c>
      <c r="C7" s="1282" t="s">
        <v>24</v>
      </c>
      <c r="D7" s="1300">
        <v>467.13</v>
      </c>
      <c r="E7" s="1285" t="s">
        <v>24</v>
      </c>
      <c r="F7" s="1295" t="s">
        <v>24</v>
      </c>
      <c r="G7" s="1295" t="s">
        <v>24</v>
      </c>
      <c r="H7" s="1295" t="s">
        <v>24</v>
      </c>
      <c r="I7" s="1294" t="s">
        <v>24</v>
      </c>
      <c r="J7" s="1285" t="s">
        <v>24</v>
      </c>
      <c r="K7" s="1295" t="s">
        <v>24</v>
      </c>
      <c r="L7" s="1295" t="s">
        <v>24</v>
      </c>
      <c r="M7" s="3347" t="s">
        <v>24</v>
      </c>
      <c r="N7" s="3190">
        <f t="shared" ref="N7:N9" si="0">SUM(J7:M7)</f>
        <v>0</v>
      </c>
    </row>
    <row r="8" spans="1:14" ht="14.45">
      <c r="A8" s="3989"/>
      <c r="B8" s="1287" t="s">
        <v>862</v>
      </c>
      <c r="C8" s="1306" t="s">
        <v>24</v>
      </c>
      <c r="D8" s="1307" t="s">
        <v>24</v>
      </c>
      <c r="E8" s="1308">
        <v>1</v>
      </c>
      <c r="F8" s="1308">
        <v>1</v>
      </c>
      <c r="G8" s="1308">
        <v>1</v>
      </c>
      <c r="H8" s="1308">
        <v>1</v>
      </c>
      <c r="I8" s="1312">
        <v>1</v>
      </c>
      <c r="J8" s="3193" t="s">
        <v>24</v>
      </c>
      <c r="K8" s="3348" t="s">
        <v>24</v>
      </c>
      <c r="L8" s="3348" t="s">
        <v>24</v>
      </c>
      <c r="M8" s="3349" t="s">
        <v>24</v>
      </c>
      <c r="N8" s="3191">
        <f t="shared" si="0"/>
        <v>0</v>
      </c>
    </row>
    <row r="9" spans="1:14" ht="15" thickBot="1">
      <c r="A9" s="3989"/>
      <c r="B9" s="1288" t="s">
        <v>863</v>
      </c>
      <c r="C9" s="1309" t="s">
        <v>24</v>
      </c>
      <c r="D9" s="1310">
        <v>1</v>
      </c>
      <c r="E9" s="1311">
        <v>1</v>
      </c>
      <c r="F9" s="1311">
        <v>1</v>
      </c>
      <c r="G9" s="1311">
        <v>1</v>
      </c>
      <c r="H9" s="1311">
        <v>1</v>
      </c>
      <c r="I9" s="3179">
        <v>1</v>
      </c>
      <c r="J9" s="3212" t="s">
        <v>24</v>
      </c>
      <c r="K9" s="3350" t="s">
        <v>24</v>
      </c>
      <c r="L9" s="3350" t="s">
        <v>24</v>
      </c>
      <c r="M9" s="3351" t="s">
        <v>24</v>
      </c>
      <c r="N9" s="3192">
        <f t="shared" si="0"/>
        <v>0</v>
      </c>
    </row>
    <row r="10" spans="1:14" hidden="1">
      <c r="D10" s="723"/>
      <c r="E10" t="s">
        <v>864</v>
      </c>
      <c r="F10" t="s">
        <v>865</v>
      </c>
      <c r="I10" s="507"/>
      <c r="N10" s="507"/>
    </row>
    <row r="11" spans="1:14" hidden="1">
      <c r="D11" s="723"/>
      <c r="F11" t="s">
        <v>866</v>
      </c>
      <c r="I11" s="507"/>
      <c r="N11" s="507"/>
    </row>
    <row r="12" spans="1:14" ht="18" hidden="1" thickBot="1">
      <c r="D12" s="1289"/>
      <c r="E12" s="504"/>
      <c r="F12" s="504" t="s">
        <v>867</v>
      </c>
      <c r="G12" s="504"/>
      <c r="H12" s="504"/>
      <c r="I12" s="1290"/>
      <c r="J12" s="504">
        <f>8*4</f>
        <v>32</v>
      </c>
      <c r="K12" s="504"/>
      <c r="L12" s="504"/>
      <c r="M12" s="504"/>
      <c r="N12" s="1290"/>
    </row>
    <row r="13" spans="1:14" ht="18" thickBot="1"/>
    <row r="14" spans="1:14" ht="15" customHeight="1" thickBot="1">
      <c r="C14" s="1639" t="s">
        <v>15</v>
      </c>
      <c r="D14" s="1640" t="s">
        <v>16</v>
      </c>
      <c r="E14" s="3990" t="s">
        <v>163</v>
      </c>
      <c r="F14" s="3991"/>
      <c r="G14" s="3991"/>
      <c r="H14" s="3992"/>
      <c r="I14" s="3993"/>
      <c r="J14" s="3990" t="s">
        <v>164</v>
      </c>
      <c r="K14" s="3991"/>
      <c r="L14" s="3991"/>
      <c r="M14" s="3992"/>
      <c r="N14" s="3993"/>
    </row>
    <row r="15" spans="1:14" ht="14.45">
      <c r="A15" s="3987"/>
      <c r="B15" s="1641" t="s">
        <v>868</v>
      </c>
      <c r="C15" s="1650" t="s">
        <v>183</v>
      </c>
      <c r="D15" s="1650" t="s">
        <v>183</v>
      </c>
      <c r="E15" s="1651" t="s">
        <v>483</v>
      </c>
      <c r="F15" s="1652" t="s">
        <v>484</v>
      </c>
      <c r="G15" s="1652" t="s">
        <v>485</v>
      </c>
      <c r="H15" s="1648" t="s">
        <v>858</v>
      </c>
      <c r="I15" s="1653" t="s">
        <v>857</v>
      </c>
      <c r="J15" s="1646" t="s">
        <v>483</v>
      </c>
      <c r="K15" s="1647" t="s">
        <v>484</v>
      </c>
      <c r="L15" s="1647" t="s">
        <v>485</v>
      </c>
      <c r="M15" s="3132" t="s">
        <v>859</v>
      </c>
      <c r="N15" s="1649" t="s">
        <v>857</v>
      </c>
    </row>
    <row r="16" spans="1:14" ht="14.45">
      <c r="A16" s="3987"/>
      <c r="B16" s="1305" t="s">
        <v>869</v>
      </c>
      <c r="C16" s="1286" t="s">
        <v>24</v>
      </c>
      <c r="D16" s="1304" t="s">
        <v>24</v>
      </c>
      <c r="E16" s="3193" t="s">
        <v>24</v>
      </c>
      <c r="F16" s="3348" t="s">
        <v>24</v>
      </c>
      <c r="G16" s="3348" t="s">
        <v>24</v>
      </c>
      <c r="H16" s="3348" t="s">
        <v>24</v>
      </c>
      <c r="I16" s="3352">
        <v>4.4000000000000004</v>
      </c>
      <c r="J16" s="3196">
        <v>1074</v>
      </c>
      <c r="K16" s="3197">
        <v>139216</v>
      </c>
      <c r="L16" s="3197">
        <v>5709</v>
      </c>
      <c r="M16" s="3197" t="s">
        <v>24</v>
      </c>
      <c r="N16" s="3198">
        <f>SUM(J16:M16)</f>
        <v>145999</v>
      </c>
    </row>
    <row r="17" spans="1:16" ht="15" thickBot="1">
      <c r="A17" s="3987"/>
      <c r="B17" s="3202" t="s">
        <v>870</v>
      </c>
      <c r="C17" s="3195" t="s">
        <v>24</v>
      </c>
      <c r="D17" s="3194" t="s">
        <v>24</v>
      </c>
      <c r="E17" s="3212" t="s">
        <v>24</v>
      </c>
      <c r="F17" s="3350" t="s">
        <v>24</v>
      </c>
      <c r="G17" s="3350" t="s">
        <v>24</v>
      </c>
      <c r="H17" s="3350" t="s">
        <v>24</v>
      </c>
      <c r="I17" s="3353">
        <v>48467</v>
      </c>
      <c r="J17" s="3199">
        <v>596</v>
      </c>
      <c r="K17" s="3200">
        <v>4388</v>
      </c>
      <c r="L17" s="3200">
        <v>2949</v>
      </c>
      <c r="M17" s="3200" t="s">
        <v>24</v>
      </c>
      <c r="N17" s="3201">
        <f t="shared" ref="N17" si="1">SUM(J17:M17)</f>
        <v>7933</v>
      </c>
    </row>
    <row r="18" spans="1:16" ht="18" thickBot="1">
      <c r="B18" s="3203"/>
      <c r="C18" s="1266"/>
      <c r="D18" s="1296"/>
      <c r="E18" s="1266"/>
      <c r="F18" s="1266"/>
      <c r="G18" s="1266"/>
      <c r="H18" s="1266"/>
      <c r="I18" s="1266"/>
      <c r="J18" s="902"/>
      <c r="K18" s="902"/>
      <c r="L18" s="902"/>
      <c r="M18" s="902"/>
      <c r="N18" s="902"/>
    </row>
    <row r="19" spans="1:16" ht="14.25" customHeight="1" thickBot="1">
      <c r="B19" s="1297"/>
      <c r="C19" s="1643" t="s">
        <v>15</v>
      </c>
      <c r="D19" s="1643" t="s">
        <v>16</v>
      </c>
      <c r="E19" s="3994" t="s">
        <v>163</v>
      </c>
      <c r="F19" s="3995"/>
      <c r="G19" s="3995"/>
      <c r="H19" s="3995"/>
      <c r="I19" s="3995"/>
      <c r="J19" s="3994" t="s">
        <v>164</v>
      </c>
      <c r="K19" s="3995"/>
      <c r="L19" s="3995"/>
      <c r="M19" s="3995"/>
      <c r="N19" s="3996"/>
    </row>
    <row r="20" spans="1:16" ht="14.45">
      <c r="A20" s="3987"/>
      <c r="B20" s="1642" t="s">
        <v>871</v>
      </c>
      <c r="C20" s="1654" t="s">
        <v>183</v>
      </c>
      <c r="D20" s="1655" t="s">
        <v>183</v>
      </c>
      <c r="E20" s="1651" t="s">
        <v>483</v>
      </c>
      <c r="F20" s="1652" t="s">
        <v>484</v>
      </c>
      <c r="G20" s="1652" t="s">
        <v>485</v>
      </c>
      <c r="H20" s="1648" t="s">
        <v>858</v>
      </c>
      <c r="I20" s="1656" t="s">
        <v>620</v>
      </c>
      <c r="J20" s="1646" t="s">
        <v>483</v>
      </c>
      <c r="K20" s="3100" t="s">
        <v>484</v>
      </c>
      <c r="L20" s="3100" t="s">
        <v>485</v>
      </c>
      <c r="M20" s="3132" t="s">
        <v>859</v>
      </c>
      <c r="N20" s="1653" t="s">
        <v>857</v>
      </c>
    </row>
    <row r="21" spans="1:16" ht="14.45">
      <c r="A21" s="3987"/>
      <c r="B21" s="3204" t="s">
        <v>869</v>
      </c>
      <c r="C21" s="1286" t="s">
        <v>24</v>
      </c>
      <c r="D21" s="3193" t="s">
        <v>24</v>
      </c>
      <c r="E21" s="3206">
        <v>13.5</v>
      </c>
      <c r="F21" s="3207">
        <v>82</v>
      </c>
      <c r="G21" s="3207">
        <v>33.5</v>
      </c>
      <c r="H21" s="3207">
        <v>108.5</v>
      </c>
      <c r="I21" s="3208">
        <f>SUM(E21:H21)</f>
        <v>237.5</v>
      </c>
      <c r="J21" s="3209">
        <v>185</v>
      </c>
      <c r="K21" s="3210">
        <v>13991</v>
      </c>
      <c r="L21" s="3210">
        <v>449</v>
      </c>
      <c r="M21" s="3210" t="s">
        <v>24</v>
      </c>
      <c r="N21" s="3211">
        <f>SUM(J21:L21)</f>
        <v>14625</v>
      </c>
    </row>
    <row r="22" spans="1:16" ht="15" thickBot="1">
      <c r="A22" s="3988"/>
      <c r="B22" s="3205" t="s">
        <v>872</v>
      </c>
      <c r="C22" s="3195" t="s">
        <v>24</v>
      </c>
      <c r="D22" s="3212" t="s">
        <v>24</v>
      </c>
      <c r="E22" s="3213">
        <v>127</v>
      </c>
      <c r="F22" s="3214">
        <v>472</v>
      </c>
      <c r="G22" s="3214">
        <v>546</v>
      </c>
      <c r="H22" s="3214">
        <v>3386</v>
      </c>
      <c r="I22" s="3215">
        <f>SUM(E22:H22)</f>
        <v>4531</v>
      </c>
      <c r="J22" s="3216">
        <v>300</v>
      </c>
      <c r="K22" s="3217">
        <v>7947</v>
      </c>
      <c r="L22" s="3217">
        <v>506</v>
      </c>
      <c r="M22" s="3217" t="s">
        <v>24</v>
      </c>
      <c r="N22" s="3218">
        <f t="shared" ref="N22" si="2">SUM(J22:M22)</f>
        <v>8753</v>
      </c>
    </row>
    <row r="23" spans="1:16">
      <c r="P23" s="3101"/>
    </row>
    <row r="24" spans="1:16" ht="14.45">
      <c r="B24" s="3012" t="s">
        <v>873</v>
      </c>
    </row>
  </sheetData>
  <mergeCells count="9">
    <mergeCell ref="A20:A22"/>
    <mergeCell ref="A6:A9"/>
    <mergeCell ref="J4:N4"/>
    <mergeCell ref="J14:N14"/>
    <mergeCell ref="J19:N19"/>
    <mergeCell ref="A15:A17"/>
    <mergeCell ref="E14:I14"/>
    <mergeCell ref="E19:I19"/>
    <mergeCell ref="E4:I4"/>
  </mergeCells>
  <phoneticPr fontId="16" type="noConversion"/>
  <pageMargins left="0.7" right="0.7" top="0.75" bottom="0.75" header="0.3" footer="0.3"/>
  <pageSetup paperSize="9" orientation="portrait" horizontalDpi="1200" verticalDpi="1200" r:id="rId1"/>
  <headerFooter>
    <oddFooter>&amp;C_x000D_&amp;1#&amp;"Calibri"&amp;10&amp;K000000 C2 - Internal</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1FDCE-10E3-4858-B5CB-59A7BB27E512}">
  <sheetPr>
    <tabColor theme="0"/>
  </sheetPr>
  <dimension ref="A3:M16"/>
  <sheetViews>
    <sheetView workbookViewId="0"/>
  </sheetViews>
  <sheetFormatPr defaultRowHeight="14.45"/>
  <cols>
    <col min="1" max="1" width="3.140625" customWidth="1"/>
    <col min="2" max="2" width="14" customWidth="1"/>
    <col min="3" max="3" width="29.28515625" bestFit="1" customWidth="1"/>
  </cols>
  <sheetData>
    <row r="3" spans="1:13" ht="15" thickBot="1">
      <c r="B3" s="1662"/>
      <c r="C3" s="1662"/>
    </row>
    <row r="4" spans="1:13" s="6" customFormat="1" ht="16.5" customHeight="1" thickBot="1">
      <c r="B4" s="1664"/>
      <c r="C4" s="1663"/>
      <c r="D4" s="1659" t="s">
        <v>9</v>
      </c>
      <c r="E4" s="1659" t="s">
        <v>10</v>
      </c>
      <c r="F4" s="1659" t="s">
        <v>11</v>
      </c>
      <c r="G4" s="1659" t="s">
        <v>12</v>
      </c>
      <c r="H4" s="1659" t="s">
        <v>13</v>
      </c>
      <c r="I4" s="1659" t="s">
        <v>14</v>
      </c>
      <c r="J4" s="1659" t="s">
        <v>15</v>
      </c>
      <c r="K4" s="1659" t="s">
        <v>16</v>
      </c>
      <c r="L4" s="1659" t="s">
        <v>163</v>
      </c>
      <c r="M4" s="1658" t="s">
        <v>164</v>
      </c>
    </row>
    <row r="5" spans="1:13" s="6" customFormat="1" ht="26.25" customHeight="1">
      <c r="A5" s="3999"/>
      <c r="B5" s="4006" t="s">
        <v>165</v>
      </c>
      <c r="C5" s="2113" t="s">
        <v>874</v>
      </c>
      <c r="D5" s="2103" t="s">
        <v>24</v>
      </c>
      <c r="E5" s="2103" t="s">
        <v>24</v>
      </c>
      <c r="F5" s="2103" t="s">
        <v>24</v>
      </c>
      <c r="G5" s="2103" t="s">
        <v>24</v>
      </c>
      <c r="H5" s="2103" t="s">
        <v>24</v>
      </c>
      <c r="I5" s="2103">
        <v>150</v>
      </c>
      <c r="J5" s="2103">
        <v>823</v>
      </c>
      <c r="K5" s="2103">
        <v>2607</v>
      </c>
      <c r="L5" s="2109">
        <v>2165</v>
      </c>
      <c r="M5" s="2889">
        <v>2830</v>
      </c>
    </row>
    <row r="6" spans="1:13" s="6" customFormat="1" ht="16.5" customHeight="1">
      <c r="A6" s="4000"/>
      <c r="B6" s="3997"/>
      <c r="C6" s="2114" t="s">
        <v>875</v>
      </c>
      <c r="D6" s="2104" t="s">
        <v>24</v>
      </c>
      <c r="E6" s="2104" t="s">
        <v>24</v>
      </c>
      <c r="F6" s="2104" t="s">
        <v>24</v>
      </c>
      <c r="G6" s="2104" t="s">
        <v>24</v>
      </c>
      <c r="H6" s="2104" t="s">
        <v>24</v>
      </c>
      <c r="I6" s="2104">
        <v>60</v>
      </c>
      <c r="J6" s="2104">
        <v>710</v>
      </c>
      <c r="K6" s="2104">
        <v>2100</v>
      </c>
      <c r="L6" s="2109">
        <v>1691</v>
      </c>
      <c r="M6" s="2889">
        <v>2033</v>
      </c>
    </row>
    <row r="7" spans="1:13" s="6" customFormat="1" ht="16.5" customHeight="1" thickBot="1">
      <c r="A7" s="4001"/>
      <c r="B7" s="3998"/>
      <c r="C7" s="2115" t="s">
        <v>876</v>
      </c>
      <c r="D7" s="2092" t="s">
        <v>24</v>
      </c>
      <c r="E7" s="2092" t="s">
        <v>24</v>
      </c>
      <c r="F7" s="2092" t="s">
        <v>24</v>
      </c>
      <c r="G7" s="2092" t="s">
        <v>24</v>
      </c>
      <c r="H7" s="2092" t="s">
        <v>24</v>
      </c>
      <c r="I7" s="2092">
        <f>SUM(1/I5)*I6</f>
        <v>0.4</v>
      </c>
      <c r="J7" s="2092">
        <f>SUM(1/J5)*J6</f>
        <v>0.86269744835965967</v>
      </c>
      <c r="K7" s="2092">
        <f>K6/K5</f>
        <v>0.8055235903337169</v>
      </c>
      <c r="L7" s="2110">
        <f>L6/L5</f>
        <v>0.78106235565819859</v>
      </c>
      <c r="M7" s="1657">
        <f>M6/M5</f>
        <v>0.71837455830388697</v>
      </c>
    </row>
    <row r="8" spans="1:13" s="6" customFormat="1" ht="26.25" customHeight="1">
      <c r="A8" s="4002"/>
      <c r="B8" s="4007" t="s">
        <v>172</v>
      </c>
      <c r="C8" s="2116" t="s">
        <v>874</v>
      </c>
      <c r="D8" s="2105">
        <v>3036</v>
      </c>
      <c r="E8" s="2105">
        <v>3189</v>
      </c>
      <c r="F8" s="2105">
        <v>2538</v>
      </c>
      <c r="G8" s="2105">
        <v>2319</v>
      </c>
      <c r="H8" s="2105">
        <v>3219</v>
      </c>
      <c r="I8" s="2105">
        <v>46</v>
      </c>
      <c r="J8" s="2105">
        <v>570</v>
      </c>
      <c r="K8" s="2105">
        <v>1320</v>
      </c>
      <c r="L8" s="2109">
        <v>698</v>
      </c>
      <c r="M8" s="2889">
        <v>1338</v>
      </c>
    </row>
    <row r="9" spans="1:13" s="6" customFormat="1" ht="16.5" customHeight="1">
      <c r="A9" s="4003"/>
      <c r="B9" s="3997"/>
      <c r="C9" s="2114" t="s">
        <v>875</v>
      </c>
      <c r="D9" s="2104" t="s">
        <v>24</v>
      </c>
      <c r="E9" s="2104" t="s">
        <v>24</v>
      </c>
      <c r="F9" s="2104" t="s">
        <v>24</v>
      </c>
      <c r="G9" s="2104" t="s">
        <v>24</v>
      </c>
      <c r="H9" s="2104" t="s">
        <v>24</v>
      </c>
      <c r="I9" s="2104">
        <v>36</v>
      </c>
      <c r="J9" s="2104">
        <v>520</v>
      </c>
      <c r="K9" s="2104">
        <v>784</v>
      </c>
      <c r="L9" s="2109">
        <v>607</v>
      </c>
      <c r="M9" s="2889">
        <v>1094</v>
      </c>
    </row>
    <row r="10" spans="1:13" s="6" customFormat="1" ht="16.5" customHeight="1" thickBot="1">
      <c r="A10" s="4004"/>
      <c r="B10" s="3998"/>
      <c r="C10" s="2115" t="s">
        <v>876</v>
      </c>
      <c r="D10" s="2092" t="s">
        <v>24</v>
      </c>
      <c r="E10" s="2092" t="s">
        <v>24</v>
      </c>
      <c r="F10" s="2092" t="s">
        <v>24</v>
      </c>
      <c r="G10" s="2092" t="s">
        <v>24</v>
      </c>
      <c r="H10" s="2092" t="s">
        <v>24</v>
      </c>
      <c r="I10" s="2092">
        <f>SUM(1/I8)*I9</f>
        <v>0.78260869565217384</v>
      </c>
      <c r="J10" s="2092">
        <f>SUM(1/J8)*J9</f>
        <v>0.91228070175438603</v>
      </c>
      <c r="K10" s="2092">
        <f>K9/K8</f>
        <v>0.59393939393939399</v>
      </c>
      <c r="L10" s="2110">
        <f>L9/L8</f>
        <v>0.86962750716332382</v>
      </c>
      <c r="M10" s="1657">
        <f>M9/M8</f>
        <v>0.81763826606875933</v>
      </c>
    </row>
    <row r="11" spans="1:13" s="6" customFormat="1" ht="26.45">
      <c r="A11" s="4002"/>
      <c r="B11" s="4008" t="s">
        <v>399</v>
      </c>
      <c r="C11" s="2116" t="s">
        <v>874</v>
      </c>
      <c r="D11" s="2105">
        <v>2509</v>
      </c>
      <c r="E11" s="2105">
        <v>4135</v>
      </c>
      <c r="F11" s="2105">
        <v>4050</v>
      </c>
      <c r="G11" s="2105">
        <v>3957</v>
      </c>
      <c r="H11" s="2105">
        <v>3688</v>
      </c>
      <c r="I11" s="2105">
        <v>304</v>
      </c>
      <c r="J11" s="2105">
        <v>905</v>
      </c>
      <c r="K11" s="2105">
        <v>2682</v>
      </c>
      <c r="L11" s="2109">
        <v>2717</v>
      </c>
      <c r="M11" s="2889">
        <v>2464</v>
      </c>
    </row>
    <row r="12" spans="1:13" s="6" customFormat="1" ht="16.5" customHeight="1">
      <c r="A12" s="4003"/>
      <c r="B12" s="4009"/>
      <c r="C12" s="2114" t="s">
        <v>875</v>
      </c>
      <c r="D12" s="2104" t="s">
        <v>24</v>
      </c>
      <c r="E12" s="2104" t="s">
        <v>24</v>
      </c>
      <c r="F12" s="2104" t="s">
        <v>24</v>
      </c>
      <c r="G12" s="2104" t="s">
        <v>24</v>
      </c>
      <c r="H12" s="2104" t="s">
        <v>24</v>
      </c>
      <c r="I12" s="2104">
        <v>235</v>
      </c>
      <c r="J12" s="2104">
        <v>520</v>
      </c>
      <c r="K12" s="2104">
        <v>1255</v>
      </c>
      <c r="L12" s="2109">
        <v>970</v>
      </c>
      <c r="M12" s="2889">
        <v>1410</v>
      </c>
    </row>
    <row r="13" spans="1:13" s="6" customFormat="1" ht="16.5" customHeight="1" thickBot="1">
      <c r="A13" s="4005"/>
      <c r="B13" s="4010"/>
      <c r="C13" s="2115" t="s">
        <v>876</v>
      </c>
      <c r="D13" s="2092" t="s">
        <v>24</v>
      </c>
      <c r="E13" s="2092" t="s">
        <v>24</v>
      </c>
      <c r="F13" s="2092" t="s">
        <v>24</v>
      </c>
      <c r="G13" s="2092" t="s">
        <v>24</v>
      </c>
      <c r="H13" s="2092" t="s">
        <v>24</v>
      </c>
      <c r="I13" s="2092">
        <f>SUM(1/I11)*I12</f>
        <v>0.77302631578947367</v>
      </c>
      <c r="J13" s="2092">
        <f>SUM(1/J11)*J12</f>
        <v>0.57458563535911611</v>
      </c>
      <c r="K13" s="2092">
        <f>K12/K11</f>
        <v>0.46793437733035048</v>
      </c>
      <c r="L13" s="2110">
        <f>L12/L11</f>
        <v>0.35701140964298861</v>
      </c>
      <c r="M13" s="1657">
        <f>M12/M11</f>
        <v>0.57224025974025972</v>
      </c>
    </row>
    <row r="14" spans="1:13" s="6" customFormat="1" ht="24" customHeight="1">
      <c r="B14" s="3997" t="s">
        <v>183</v>
      </c>
      <c r="C14" s="2116" t="s">
        <v>874</v>
      </c>
      <c r="D14" s="2106">
        <f>SUM(D8+D11)</f>
        <v>5545</v>
      </c>
      <c r="E14" s="2106">
        <f>SUM(E8+E11)</f>
        <v>7324</v>
      </c>
      <c r="F14" s="2106">
        <f>SUM(F8+F11)</f>
        <v>6588</v>
      </c>
      <c r="G14" s="2106">
        <f>SUM(G8+G11)</f>
        <v>6276</v>
      </c>
      <c r="H14" s="2106">
        <f>SUM(H8+H11)</f>
        <v>6907</v>
      </c>
      <c r="I14" s="2106">
        <f t="shared" ref="I14:K15" si="0">SUM(I5+I8+I11)</f>
        <v>500</v>
      </c>
      <c r="J14" s="2106">
        <f t="shared" si="0"/>
        <v>2298</v>
      </c>
      <c r="K14" s="2106">
        <f t="shared" si="0"/>
        <v>6609</v>
      </c>
      <c r="L14" s="2111">
        <f t="shared" ref="L14" si="1">SUM(L5+L8+L11)</f>
        <v>5580</v>
      </c>
      <c r="M14" s="1660">
        <f>SUM(M5+M8+M11)</f>
        <v>6632</v>
      </c>
    </row>
    <row r="15" spans="1:13" s="6" customFormat="1" ht="16.5" customHeight="1">
      <c r="B15" s="3997"/>
      <c r="C15" s="2114" t="s">
        <v>875</v>
      </c>
      <c r="D15" s="2107" t="s">
        <v>24</v>
      </c>
      <c r="E15" s="2107" t="s">
        <v>24</v>
      </c>
      <c r="F15" s="2107" t="s">
        <v>24</v>
      </c>
      <c r="G15" s="2107" t="s">
        <v>24</v>
      </c>
      <c r="H15" s="2107" t="s">
        <v>24</v>
      </c>
      <c r="I15" s="2107">
        <f t="shared" si="0"/>
        <v>331</v>
      </c>
      <c r="J15" s="2107">
        <f t="shared" si="0"/>
        <v>1750</v>
      </c>
      <c r="K15" s="2107">
        <f t="shared" si="0"/>
        <v>4139</v>
      </c>
      <c r="L15" s="2111">
        <f t="shared" ref="L15:M15" si="2">SUM(L6+L9+L12)</f>
        <v>3268</v>
      </c>
      <c r="M15" s="1660">
        <f t="shared" si="2"/>
        <v>4537</v>
      </c>
    </row>
    <row r="16" spans="1:13" s="6" customFormat="1" ht="16.5" customHeight="1" thickBot="1">
      <c r="B16" s="3998"/>
      <c r="C16" s="2115" t="s">
        <v>876</v>
      </c>
      <c r="D16" s="2108" t="s">
        <v>24</v>
      </c>
      <c r="E16" s="2108" t="s">
        <v>24</v>
      </c>
      <c r="F16" s="2108" t="s">
        <v>24</v>
      </c>
      <c r="G16" s="2108" t="s">
        <v>24</v>
      </c>
      <c r="H16" s="2108" t="s">
        <v>24</v>
      </c>
      <c r="I16" s="2108">
        <f>SUM(1/I14)*I15</f>
        <v>0.66200000000000003</v>
      </c>
      <c r="J16" s="2108">
        <f>SUM(1/J14)*J15</f>
        <v>0.76153176675369882</v>
      </c>
      <c r="K16" s="2108">
        <f>SUM(1/K14)*K15</f>
        <v>0.62626721137842345</v>
      </c>
      <c r="L16" s="2112">
        <f>SUM(1/L14)*L15</f>
        <v>0.58566308243727594</v>
      </c>
      <c r="M16" s="1661">
        <f>SUM(1/M14)*M15</f>
        <v>0.68410735826296742</v>
      </c>
    </row>
  </sheetData>
  <mergeCells count="7">
    <mergeCell ref="B14:B16"/>
    <mergeCell ref="A5:A7"/>
    <mergeCell ref="A8:A10"/>
    <mergeCell ref="A11:A13"/>
    <mergeCell ref="B5:B7"/>
    <mergeCell ref="B8:B10"/>
    <mergeCell ref="B11:B13"/>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F7454-C035-4C34-A0C2-6953F28C6326}">
  <sheetPr codeName="Sheet24">
    <tabColor theme="0"/>
  </sheetPr>
  <dimension ref="A1:N34"/>
  <sheetViews>
    <sheetView showGridLines="0" zoomScaleNormal="100" workbookViewId="0">
      <selection sqref="A1:B1"/>
    </sheetView>
  </sheetViews>
  <sheetFormatPr defaultColWidth="9" defaultRowHeight="13.15"/>
  <cols>
    <col min="1" max="1" width="8" style="6" customWidth="1"/>
    <col min="2" max="2" width="13.42578125" style="6" bestFit="1" customWidth="1"/>
    <col min="3" max="3" width="61.5703125" style="6" bestFit="1" customWidth="1"/>
    <col min="4" max="14" width="9.140625" style="6" customWidth="1"/>
    <col min="15" max="16384" width="9" style="6"/>
  </cols>
  <sheetData>
    <row r="1" spans="1:14" ht="18" customHeight="1">
      <c r="A1" s="4011" t="s">
        <v>877</v>
      </c>
      <c r="B1" s="4011"/>
      <c r="D1" s="204"/>
      <c r="E1" s="204"/>
      <c r="F1" s="204"/>
      <c r="G1" s="204"/>
      <c r="H1" s="204"/>
      <c r="I1" s="204"/>
      <c r="J1" s="204"/>
      <c r="K1" s="204"/>
      <c r="L1" s="204"/>
      <c r="M1" s="204"/>
      <c r="N1" s="204"/>
    </row>
    <row r="2" spans="1:14" ht="18" customHeight="1">
      <c r="A2" s="4011" t="s">
        <v>878</v>
      </c>
      <c r="B2" s="4011"/>
      <c r="C2" s="4011"/>
      <c r="D2" s="204"/>
      <c r="E2" s="719"/>
      <c r="F2" s="719"/>
      <c r="G2" s="719"/>
      <c r="H2" s="719"/>
      <c r="I2" s="719"/>
      <c r="J2" s="719"/>
      <c r="K2" s="719"/>
      <c r="L2" s="719"/>
      <c r="M2" s="719"/>
      <c r="N2" s="719"/>
    </row>
    <row r="3" spans="1:14" ht="18" customHeight="1">
      <c r="B3" s="719"/>
      <c r="C3" s="719"/>
      <c r="D3" s="719"/>
      <c r="E3" s="719"/>
      <c r="F3" s="719"/>
      <c r="G3" s="719"/>
      <c r="H3" s="719"/>
      <c r="I3" s="719"/>
      <c r="J3" s="719"/>
      <c r="K3" s="719"/>
      <c r="L3" s="719"/>
      <c r="M3" s="719"/>
      <c r="N3" s="719"/>
    </row>
    <row r="4" spans="1:14" ht="13.9" thickBot="1">
      <c r="A4" s="720"/>
      <c r="B4" s="720"/>
      <c r="C4" s="720"/>
      <c r="D4" s="720"/>
      <c r="E4" s="720"/>
      <c r="F4" s="720"/>
      <c r="G4" s="720"/>
      <c r="H4" s="720"/>
      <c r="I4" s="720"/>
      <c r="J4" s="720"/>
      <c r="K4" s="720"/>
      <c r="L4" s="720"/>
      <c r="M4" s="720"/>
      <c r="N4" s="720"/>
    </row>
    <row r="5" spans="1:14" ht="14.25" customHeight="1" thickBot="1">
      <c r="A5" s="4012"/>
      <c r="B5" s="4027" t="s">
        <v>788</v>
      </c>
      <c r="C5" s="4028" t="s">
        <v>162</v>
      </c>
      <c r="D5" s="4015" t="s">
        <v>397</v>
      </c>
      <c r="E5" s="4015"/>
      <c r="F5" s="4015"/>
      <c r="G5" s="4015"/>
      <c r="H5" s="4015"/>
      <c r="I5" s="4015"/>
      <c r="J5" s="4015"/>
      <c r="K5" s="4015"/>
      <c r="L5" s="4015"/>
      <c r="M5" s="4015"/>
      <c r="N5" s="4016"/>
    </row>
    <row r="6" spans="1:14" ht="13.9" thickBot="1">
      <c r="A6" s="4012"/>
      <c r="B6" s="4027"/>
      <c r="C6" s="4028"/>
      <c r="D6" s="2088" t="s">
        <v>879</v>
      </c>
      <c r="E6" s="2088" t="s">
        <v>9</v>
      </c>
      <c r="F6" s="2088" t="s">
        <v>10</v>
      </c>
      <c r="G6" s="2088" t="s">
        <v>11</v>
      </c>
      <c r="H6" s="2088" t="s">
        <v>12</v>
      </c>
      <c r="I6" s="2088" t="s">
        <v>13</v>
      </c>
      <c r="J6" s="2088" t="s">
        <v>14</v>
      </c>
      <c r="K6" s="2088" t="s">
        <v>15</v>
      </c>
      <c r="L6" s="2088" t="s">
        <v>16</v>
      </c>
      <c r="M6" s="2088" t="s">
        <v>163</v>
      </c>
      <c r="N6" s="1658" t="s">
        <v>164</v>
      </c>
    </row>
    <row r="7" spans="1:14" ht="14.25" customHeight="1">
      <c r="A7" s="4013"/>
      <c r="B7" s="4017" t="s">
        <v>172</v>
      </c>
      <c r="C7" s="2097" t="s">
        <v>880</v>
      </c>
      <c r="D7" s="2089">
        <v>244</v>
      </c>
      <c r="E7" s="2089">
        <v>385</v>
      </c>
      <c r="F7" s="2089">
        <v>721</v>
      </c>
      <c r="G7" s="2089">
        <v>528</v>
      </c>
      <c r="H7" s="2089">
        <v>441</v>
      </c>
      <c r="I7" s="2089">
        <v>358</v>
      </c>
      <c r="J7" s="2089">
        <v>193</v>
      </c>
      <c r="K7" s="2089">
        <v>1077</v>
      </c>
      <c r="L7" s="2089">
        <v>2261</v>
      </c>
      <c r="M7" s="2089">
        <v>6207</v>
      </c>
      <c r="N7" s="2890">
        <v>3831</v>
      </c>
    </row>
    <row r="8" spans="1:14" ht="14.25" customHeight="1">
      <c r="A8" s="4013"/>
      <c r="B8" s="4017"/>
      <c r="C8" s="2098" t="s">
        <v>881</v>
      </c>
      <c r="D8" s="2090">
        <v>92</v>
      </c>
      <c r="E8" s="2090">
        <v>144</v>
      </c>
      <c r="F8" s="2090">
        <v>222</v>
      </c>
      <c r="G8" s="2090">
        <v>209</v>
      </c>
      <c r="H8" s="2090">
        <v>181</v>
      </c>
      <c r="I8" s="2090">
        <v>135</v>
      </c>
      <c r="J8" s="2090">
        <v>276</v>
      </c>
      <c r="K8" s="2090">
        <v>68</v>
      </c>
      <c r="L8" s="2090">
        <v>149</v>
      </c>
      <c r="M8" s="2090">
        <v>106</v>
      </c>
      <c r="N8" s="2891">
        <v>234</v>
      </c>
    </row>
    <row r="9" spans="1:14" ht="26.45">
      <c r="A9" s="4013"/>
      <c r="B9" s="4017"/>
      <c r="C9" s="2098" t="s">
        <v>882</v>
      </c>
      <c r="D9" s="2090">
        <v>25</v>
      </c>
      <c r="E9" s="2090">
        <v>96</v>
      </c>
      <c r="F9" s="2090">
        <v>159</v>
      </c>
      <c r="G9" s="2090">
        <v>131</v>
      </c>
      <c r="H9" s="2090">
        <v>116</v>
      </c>
      <c r="I9" s="2090">
        <v>69</v>
      </c>
      <c r="J9" s="2090" t="s">
        <v>24</v>
      </c>
      <c r="K9" s="2090">
        <v>30</v>
      </c>
      <c r="L9" s="2090">
        <v>31</v>
      </c>
      <c r="M9" s="2090">
        <v>27</v>
      </c>
      <c r="N9" s="2891">
        <v>45</v>
      </c>
    </row>
    <row r="10" spans="1:14" ht="27" thickBot="1">
      <c r="A10" s="4013"/>
      <c r="B10" s="4017"/>
      <c r="C10" s="2098" t="s">
        <v>883</v>
      </c>
      <c r="D10" s="2091">
        <f t="shared" ref="D10:I10" si="0">D9/D8</f>
        <v>0.27173913043478259</v>
      </c>
      <c r="E10" s="2091">
        <f t="shared" si="0"/>
        <v>0.66666666666666663</v>
      </c>
      <c r="F10" s="2091">
        <f t="shared" si="0"/>
        <v>0.71621621621621623</v>
      </c>
      <c r="G10" s="2091">
        <f t="shared" si="0"/>
        <v>0.62679425837320579</v>
      </c>
      <c r="H10" s="2091">
        <f t="shared" si="0"/>
        <v>0.64088397790055252</v>
      </c>
      <c r="I10" s="2091">
        <f t="shared" si="0"/>
        <v>0.51111111111111107</v>
      </c>
      <c r="J10" s="2091">
        <v>3.0000000000000001E-3</v>
      </c>
      <c r="K10" s="2091">
        <f>K9/K8</f>
        <v>0.44117647058823528</v>
      </c>
      <c r="L10" s="2091">
        <f>L9/L8</f>
        <v>0.20805369127516779</v>
      </c>
      <c r="M10" s="2091">
        <f>M9/M8</f>
        <v>0.25471698113207547</v>
      </c>
      <c r="N10" s="3020">
        <f>N9/N8</f>
        <v>0.19230769230769232</v>
      </c>
    </row>
    <row r="11" spans="1:14" ht="14.25" customHeight="1" thickBot="1">
      <c r="A11" s="4013"/>
      <c r="B11" s="4017"/>
      <c r="C11" s="2098" t="s">
        <v>884</v>
      </c>
      <c r="D11" s="2090" t="s">
        <v>24</v>
      </c>
      <c r="E11" s="2090" t="s">
        <v>24</v>
      </c>
      <c r="F11" s="2090" t="s">
        <v>24</v>
      </c>
      <c r="G11" s="2090" t="s">
        <v>24</v>
      </c>
      <c r="H11" s="2090" t="s">
        <v>24</v>
      </c>
      <c r="I11" s="2090" t="s">
        <v>24</v>
      </c>
      <c r="J11" s="2090">
        <v>9</v>
      </c>
      <c r="K11" s="2090">
        <v>30</v>
      </c>
      <c r="L11" s="2090">
        <v>31</v>
      </c>
      <c r="M11" s="2090">
        <v>27</v>
      </c>
      <c r="N11" s="2891">
        <v>45</v>
      </c>
    </row>
    <row r="12" spans="1:14" ht="14.25" customHeight="1" thickBot="1">
      <c r="A12" s="4013"/>
      <c r="B12" s="4017"/>
      <c r="C12" s="2098" t="s">
        <v>885</v>
      </c>
      <c r="D12" s="2090" t="s">
        <v>24</v>
      </c>
      <c r="E12" s="2090" t="s">
        <v>24</v>
      </c>
      <c r="F12" s="2090" t="s">
        <v>24</v>
      </c>
      <c r="G12" s="2090" t="s">
        <v>24</v>
      </c>
      <c r="H12" s="2090" t="s">
        <v>24</v>
      </c>
      <c r="I12" s="2090" t="s">
        <v>24</v>
      </c>
      <c r="J12" s="2090" t="s">
        <v>24</v>
      </c>
      <c r="K12" s="2090">
        <v>40</v>
      </c>
      <c r="L12" s="2090">
        <v>31</v>
      </c>
      <c r="M12" s="2090">
        <v>106</v>
      </c>
      <c r="N12" s="2891">
        <v>219</v>
      </c>
    </row>
    <row r="13" spans="1:14" ht="14.65" customHeight="1" thickBot="1">
      <c r="A13" s="4013"/>
      <c r="B13" s="4017"/>
      <c r="C13" s="2099" t="s">
        <v>886</v>
      </c>
      <c r="D13" s="2092" t="s">
        <v>24</v>
      </c>
      <c r="E13" s="2092" t="s">
        <v>24</v>
      </c>
      <c r="F13" s="2092" t="s">
        <v>24</v>
      </c>
      <c r="G13" s="2092" t="s">
        <v>24</v>
      </c>
      <c r="H13" s="2092" t="s">
        <v>24</v>
      </c>
      <c r="I13" s="2092" t="s">
        <v>24</v>
      </c>
      <c r="J13" s="2092">
        <v>7.0000000000000001E-3</v>
      </c>
      <c r="K13" s="2092">
        <f>K12/K8</f>
        <v>0.58823529411764708</v>
      </c>
      <c r="L13" s="2092">
        <f>L12/L8</f>
        <v>0.20805369127516779</v>
      </c>
      <c r="M13" s="3239">
        <f>M12/M8</f>
        <v>1</v>
      </c>
      <c r="N13" s="1657">
        <f>N12/N8</f>
        <v>0.9358974358974359</v>
      </c>
    </row>
    <row r="14" spans="1:14" ht="14.25" customHeight="1" thickBot="1">
      <c r="A14" s="4013"/>
      <c r="B14" s="4018" t="s">
        <v>165</v>
      </c>
      <c r="C14" s="2100" t="s">
        <v>880</v>
      </c>
      <c r="D14" s="2089">
        <v>644</v>
      </c>
      <c r="E14" s="2089">
        <v>5205</v>
      </c>
      <c r="F14" s="2089">
        <v>1403</v>
      </c>
      <c r="G14" s="2089">
        <v>845</v>
      </c>
      <c r="H14" s="2089">
        <v>1281</v>
      </c>
      <c r="I14" s="2089">
        <v>1600</v>
      </c>
      <c r="J14" s="2089">
        <v>362</v>
      </c>
      <c r="K14" s="2089">
        <v>4146</v>
      </c>
      <c r="L14" s="2089">
        <v>1585</v>
      </c>
      <c r="M14" s="2089">
        <v>982</v>
      </c>
      <c r="N14" s="2890">
        <v>4091</v>
      </c>
    </row>
    <row r="15" spans="1:14" ht="14.25" customHeight="1" thickBot="1">
      <c r="A15" s="4013"/>
      <c r="B15" s="4018"/>
      <c r="C15" s="2101" t="s">
        <v>881</v>
      </c>
      <c r="D15" s="2090">
        <v>182</v>
      </c>
      <c r="E15" s="2090">
        <v>172</v>
      </c>
      <c r="F15" s="2090">
        <v>571</v>
      </c>
      <c r="G15" s="2090">
        <v>347</v>
      </c>
      <c r="H15" s="2090">
        <v>390</v>
      </c>
      <c r="I15" s="2090">
        <v>403</v>
      </c>
      <c r="J15" s="2090">
        <v>1945</v>
      </c>
      <c r="K15" s="2090">
        <v>2302</v>
      </c>
      <c r="L15" s="2090">
        <v>499</v>
      </c>
      <c r="M15" s="2090">
        <v>323</v>
      </c>
      <c r="N15" s="2891">
        <v>449</v>
      </c>
    </row>
    <row r="16" spans="1:14" ht="27" thickBot="1">
      <c r="A16" s="4013"/>
      <c r="B16" s="4018"/>
      <c r="C16" s="2101" t="s">
        <v>882</v>
      </c>
      <c r="D16" s="2090">
        <v>170</v>
      </c>
      <c r="E16" s="2090">
        <v>116</v>
      </c>
      <c r="F16" s="2090">
        <v>469</v>
      </c>
      <c r="G16" s="2090">
        <v>290</v>
      </c>
      <c r="H16" s="2090">
        <v>339</v>
      </c>
      <c r="I16" s="2090">
        <v>264</v>
      </c>
      <c r="J16" s="2090" t="s">
        <v>24</v>
      </c>
      <c r="K16" s="2090">
        <v>58</v>
      </c>
      <c r="L16" s="2090">
        <v>124</v>
      </c>
      <c r="M16" s="2090">
        <v>159</v>
      </c>
      <c r="N16" s="2891">
        <v>260</v>
      </c>
    </row>
    <row r="17" spans="1:14" ht="26.45">
      <c r="A17" s="4013"/>
      <c r="B17" s="4018"/>
      <c r="C17" s="2098" t="s">
        <v>883</v>
      </c>
      <c r="D17" s="2091">
        <f t="shared" ref="D17:I17" si="1">D16/D15</f>
        <v>0.93406593406593408</v>
      </c>
      <c r="E17" s="2091">
        <f t="shared" si="1"/>
        <v>0.67441860465116277</v>
      </c>
      <c r="F17" s="2091">
        <f t="shared" si="1"/>
        <v>0.8213660245183888</v>
      </c>
      <c r="G17" s="2091">
        <f t="shared" si="1"/>
        <v>0.83573487031700289</v>
      </c>
      <c r="H17" s="2091">
        <f t="shared" si="1"/>
        <v>0.86923076923076925</v>
      </c>
      <c r="I17" s="2091">
        <f t="shared" si="1"/>
        <v>0.6550868486352357</v>
      </c>
      <c r="J17" s="2091">
        <v>1E-3</v>
      </c>
      <c r="K17" s="2091">
        <f>K16/K15</f>
        <v>2.5195482189400521E-2</v>
      </c>
      <c r="L17" s="2091">
        <f>L16/L15</f>
        <v>0.24849699398797595</v>
      </c>
      <c r="M17" s="2091">
        <f>M16/M15</f>
        <v>0.49226006191950467</v>
      </c>
      <c r="N17" s="3020">
        <f>N16/N15</f>
        <v>0.57906458797327398</v>
      </c>
    </row>
    <row r="18" spans="1:14" ht="14.25" customHeight="1" thickBot="1">
      <c r="A18" s="4014"/>
      <c r="B18" s="4019"/>
      <c r="C18" s="2101" t="s">
        <v>884</v>
      </c>
      <c r="D18" s="2090">
        <v>170</v>
      </c>
      <c r="E18" s="2090">
        <v>172</v>
      </c>
      <c r="F18" s="2090" t="s">
        <v>24</v>
      </c>
      <c r="G18" s="2090">
        <v>347</v>
      </c>
      <c r="H18" s="2090">
        <v>390</v>
      </c>
      <c r="I18" s="2090">
        <v>403</v>
      </c>
      <c r="J18" s="2090">
        <v>17</v>
      </c>
      <c r="K18" s="2090">
        <v>58</v>
      </c>
      <c r="L18" s="2090">
        <v>124</v>
      </c>
      <c r="M18" s="2090">
        <v>159</v>
      </c>
      <c r="N18" s="2891">
        <v>260</v>
      </c>
    </row>
    <row r="19" spans="1:14" ht="14.25" customHeight="1" thickBot="1">
      <c r="A19" s="4013"/>
      <c r="B19" s="4018"/>
      <c r="C19" s="2098" t="s">
        <v>885</v>
      </c>
      <c r="D19" s="2090" t="s">
        <v>24</v>
      </c>
      <c r="E19" s="2090" t="s">
        <v>24</v>
      </c>
      <c r="F19" s="2090" t="s">
        <v>24</v>
      </c>
      <c r="G19" s="2090" t="s">
        <v>24</v>
      </c>
      <c r="H19" s="2090" t="s">
        <v>24</v>
      </c>
      <c r="I19" s="2090" t="s">
        <v>24</v>
      </c>
      <c r="J19" s="2090" t="s">
        <v>24</v>
      </c>
      <c r="K19" s="2090">
        <v>315</v>
      </c>
      <c r="L19" s="2090">
        <v>124</v>
      </c>
      <c r="M19" s="2090">
        <v>159</v>
      </c>
      <c r="N19" s="2902">
        <v>384</v>
      </c>
    </row>
    <row r="20" spans="1:14" ht="14.65" customHeight="1" thickBot="1">
      <c r="A20" s="4013"/>
      <c r="B20" s="4018"/>
      <c r="C20" s="2099" t="s">
        <v>886</v>
      </c>
      <c r="D20" s="2092" t="s">
        <v>24</v>
      </c>
      <c r="E20" s="2092" t="s">
        <v>24</v>
      </c>
      <c r="F20" s="2092" t="s">
        <v>24</v>
      </c>
      <c r="G20" s="2092" t="s">
        <v>24</v>
      </c>
      <c r="H20" s="2092" t="s">
        <v>24</v>
      </c>
      <c r="I20" s="2092" t="s">
        <v>24</v>
      </c>
      <c r="J20" s="2092">
        <v>0.161</v>
      </c>
      <c r="K20" s="2092">
        <f>K19/K15</f>
        <v>0.13683753258036491</v>
      </c>
      <c r="L20" s="2092">
        <f>L19/L15</f>
        <v>0.24849699398797595</v>
      </c>
      <c r="M20" s="2092">
        <f>M19/M15</f>
        <v>0.49226006191950467</v>
      </c>
      <c r="N20" s="1657">
        <f>N19/N15</f>
        <v>0.85523385300668153</v>
      </c>
    </row>
    <row r="21" spans="1:14" ht="14.25" customHeight="1" thickBot="1">
      <c r="A21" s="4013"/>
      <c r="B21" s="4020" t="s">
        <v>399</v>
      </c>
      <c r="C21" s="2100" t="s">
        <v>880</v>
      </c>
      <c r="D21" s="2089">
        <v>5472</v>
      </c>
      <c r="E21" s="2089">
        <v>5728</v>
      </c>
      <c r="F21" s="2089">
        <v>5833</v>
      </c>
      <c r="G21" s="2089">
        <v>7043</v>
      </c>
      <c r="H21" s="2089">
        <v>8708</v>
      </c>
      <c r="I21" s="2089">
        <v>5922</v>
      </c>
      <c r="J21" s="2089">
        <v>500</v>
      </c>
      <c r="K21" s="2089">
        <v>5534</v>
      </c>
      <c r="L21" s="2089">
        <v>8679</v>
      </c>
      <c r="M21" s="2089">
        <v>7788</v>
      </c>
      <c r="N21" s="2890">
        <v>5470</v>
      </c>
    </row>
    <row r="22" spans="1:14" ht="14.25" customHeight="1" thickBot="1">
      <c r="A22" s="4013"/>
      <c r="B22" s="4021"/>
      <c r="C22" s="2098" t="s">
        <v>881</v>
      </c>
      <c r="D22" s="2090">
        <v>235</v>
      </c>
      <c r="E22" s="2090">
        <v>243</v>
      </c>
      <c r="F22" s="2090">
        <v>155</v>
      </c>
      <c r="G22" s="2090">
        <v>135</v>
      </c>
      <c r="H22" s="2090">
        <v>239</v>
      </c>
      <c r="I22" s="2090">
        <v>307</v>
      </c>
      <c r="J22" s="2090">
        <v>801</v>
      </c>
      <c r="K22" s="2090">
        <v>64</v>
      </c>
      <c r="L22" s="2090">
        <v>199</v>
      </c>
      <c r="M22" s="2090">
        <v>243</v>
      </c>
      <c r="N22" s="2891">
        <v>356</v>
      </c>
    </row>
    <row r="23" spans="1:14" ht="27" thickBot="1">
      <c r="A23" s="4013"/>
      <c r="B23" s="4021"/>
      <c r="C23" s="2098" t="s">
        <v>882</v>
      </c>
      <c r="D23" s="2090">
        <v>0</v>
      </c>
      <c r="E23" s="2090">
        <v>65</v>
      </c>
      <c r="F23" s="2090">
        <v>85</v>
      </c>
      <c r="G23" s="2090">
        <v>40</v>
      </c>
      <c r="H23" s="2090">
        <v>98</v>
      </c>
      <c r="I23" s="2090">
        <v>92</v>
      </c>
      <c r="J23" s="2090" t="s">
        <v>24</v>
      </c>
      <c r="K23" s="2090">
        <v>9</v>
      </c>
      <c r="L23" s="2090">
        <v>90</v>
      </c>
      <c r="M23" s="2090">
        <v>87</v>
      </c>
      <c r="N23" s="2891">
        <v>88</v>
      </c>
    </row>
    <row r="24" spans="1:14" ht="27" thickBot="1">
      <c r="A24" s="4013"/>
      <c r="B24" s="4021"/>
      <c r="C24" s="2098" t="s">
        <v>883</v>
      </c>
      <c r="D24" s="2091" t="s">
        <v>24</v>
      </c>
      <c r="E24" s="2091">
        <f>E23/E22</f>
        <v>0.26748971193415638</v>
      </c>
      <c r="F24" s="2091">
        <f>F23/F22</f>
        <v>0.54838709677419351</v>
      </c>
      <c r="G24" s="2091">
        <f>G23/G22</f>
        <v>0.29629629629629628</v>
      </c>
      <c r="H24" s="2091">
        <f>H23/H22</f>
        <v>0.41004184100418412</v>
      </c>
      <c r="I24" s="2091">
        <f>I23/I22</f>
        <v>0.29967426710097722</v>
      </c>
      <c r="J24" s="2091">
        <v>1E-3</v>
      </c>
      <c r="K24" s="2091">
        <f>K23/K22</f>
        <v>0.140625</v>
      </c>
      <c r="L24" s="2091">
        <f>L23/L22</f>
        <v>0.45226130653266333</v>
      </c>
      <c r="M24" s="2091">
        <f>M23/M22</f>
        <v>0.35802469135802467</v>
      </c>
      <c r="N24" s="3020">
        <f>N23/N22</f>
        <v>0.24719101123595505</v>
      </c>
    </row>
    <row r="25" spans="1:14" ht="14.25" customHeight="1" thickBot="1">
      <c r="A25" s="4013"/>
      <c r="B25" s="4022"/>
      <c r="C25" s="2098" t="s">
        <v>884</v>
      </c>
      <c r="D25" s="2090">
        <v>481</v>
      </c>
      <c r="E25" s="2090">
        <v>791</v>
      </c>
      <c r="F25" s="2090">
        <v>705</v>
      </c>
      <c r="G25" s="2090">
        <v>556</v>
      </c>
      <c r="H25" s="2090">
        <v>964</v>
      </c>
      <c r="I25" s="2090">
        <v>511</v>
      </c>
      <c r="J25" s="2090">
        <v>9</v>
      </c>
      <c r="K25" s="2090">
        <v>43</v>
      </c>
      <c r="L25" s="2090">
        <v>90</v>
      </c>
      <c r="M25" s="2090">
        <v>87</v>
      </c>
      <c r="N25" s="2891">
        <v>88</v>
      </c>
    </row>
    <row r="26" spans="1:14" ht="14.25" customHeight="1" thickBot="1">
      <c r="A26" s="4013"/>
      <c r="B26" s="4021"/>
      <c r="C26" s="2098" t="s">
        <v>885</v>
      </c>
      <c r="D26" s="2090" t="s">
        <v>24</v>
      </c>
      <c r="E26" s="2090" t="s">
        <v>24</v>
      </c>
      <c r="F26" s="2090" t="s">
        <v>24</v>
      </c>
      <c r="G26" s="2090" t="s">
        <v>24</v>
      </c>
      <c r="H26" s="2090" t="s">
        <v>24</v>
      </c>
      <c r="I26" s="2090" t="s">
        <v>24</v>
      </c>
      <c r="J26" s="2090" t="s">
        <v>24</v>
      </c>
      <c r="K26" s="2090">
        <v>63</v>
      </c>
      <c r="L26" s="2090">
        <v>90</v>
      </c>
      <c r="M26" s="2090">
        <v>87</v>
      </c>
      <c r="N26" s="2891">
        <v>260</v>
      </c>
    </row>
    <row r="27" spans="1:14" ht="14.65" customHeight="1" thickBot="1">
      <c r="A27" s="4013"/>
      <c r="B27" s="4023"/>
      <c r="C27" s="2099" t="s">
        <v>886</v>
      </c>
      <c r="D27" s="2092" t="s">
        <v>24</v>
      </c>
      <c r="E27" s="2092" t="s">
        <v>24</v>
      </c>
      <c r="F27" s="2092" t="s">
        <v>24</v>
      </c>
      <c r="G27" s="2092" t="s">
        <v>24</v>
      </c>
      <c r="H27" s="2092" t="s">
        <v>24</v>
      </c>
      <c r="I27" s="2092" t="s">
        <v>24</v>
      </c>
      <c r="J27" s="2092">
        <v>0.27100000000000002</v>
      </c>
      <c r="K27" s="2092">
        <f>K26/K22</f>
        <v>0.984375</v>
      </c>
      <c r="L27" s="2092">
        <f>L26/L22</f>
        <v>0.45226130653266333</v>
      </c>
      <c r="M27" s="2092">
        <f>M26/M22</f>
        <v>0.35802469135802467</v>
      </c>
      <c r="N27" s="1657">
        <v>0.72</v>
      </c>
    </row>
    <row r="28" spans="1:14" ht="12.75" customHeight="1" thickBot="1">
      <c r="A28" s="4013"/>
      <c r="B28" s="4024" t="s">
        <v>887</v>
      </c>
      <c r="C28" s="2097" t="s">
        <v>880</v>
      </c>
      <c r="D28" s="2093">
        <f t="shared" ref="D28:M28" si="2">D7+D14+D21</f>
        <v>6360</v>
      </c>
      <c r="E28" s="2093">
        <f t="shared" si="2"/>
        <v>11318</v>
      </c>
      <c r="F28" s="2093">
        <f t="shared" si="2"/>
        <v>7957</v>
      </c>
      <c r="G28" s="2093">
        <f t="shared" si="2"/>
        <v>8416</v>
      </c>
      <c r="H28" s="2093">
        <f t="shared" si="2"/>
        <v>10430</v>
      </c>
      <c r="I28" s="2093">
        <f t="shared" si="2"/>
        <v>7880</v>
      </c>
      <c r="J28" s="2093">
        <f t="shared" si="2"/>
        <v>1055</v>
      </c>
      <c r="K28" s="2093">
        <f t="shared" si="2"/>
        <v>10757</v>
      </c>
      <c r="L28" s="2093">
        <f t="shared" si="2"/>
        <v>12525</v>
      </c>
      <c r="M28" s="2093">
        <f t="shared" si="2"/>
        <v>14977</v>
      </c>
      <c r="N28" s="3021">
        <f>N7+N14+N21</f>
        <v>13392</v>
      </c>
    </row>
    <row r="29" spans="1:14" ht="14.25" customHeight="1">
      <c r="A29" s="4013"/>
      <c r="B29" s="4025"/>
      <c r="C29" s="2101" t="s">
        <v>881</v>
      </c>
      <c r="D29" s="2093">
        <f t="shared" ref="D29:M29" si="3">D8+D15+D22</f>
        <v>509</v>
      </c>
      <c r="E29" s="2093">
        <f t="shared" si="3"/>
        <v>559</v>
      </c>
      <c r="F29" s="2093">
        <f t="shared" si="3"/>
        <v>948</v>
      </c>
      <c r="G29" s="2093">
        <f t="shared" si="3"/>
        <v>691</v>
      </c>
      <c r="H29" s="2093">
        <f t="shared" si="3"/>
        <v>810</v>
      </c>
      <c r="I29" s="2093">
        <f t="shared" si="3"/>
        <v>845</v>
      </c>
      <c r="J29" s="2093">
        <f>J8+J15+J22</f>
        <v>3022</v>
      </c>
      <c r="K29" s="2093">
        <f t="shared" si="3"/>
        <v>2434</v>
      </c>
      <c r="L29" s="2093">
        <f t="shared" si="3"/>
        <v>847</v>
      </c>
      <c r="M29" s="2093">
        <f t="shared" si="3"/>
        <v>672</v>
      </c>
      <c r="N29" s="3021">
        <f>N8+N15+N22</f>
        <v>1039</v>
      </c>
    </row>
    <row r="30" spans="1:14" ht="26.45">
      <c r="A30" s="4013"/>
      <c r="B30" s="4025"/>
      <c r="C30" s="2098" t="s">
        <v>882</v>
      </c>
      <c r="D30" s="2093">
        <f t="shared" ref="D30:I30" si="4">D9+D16+D23</f>
        <v>195</v>
      </c>
      <c r="E30" s="2093">
        <f t="shared" si="4"/>
        <v>277</v>
      </c>
      <c r="F30" s="2093">
        <f t="shared" si="4"/>
        <v>713</v>
      </c>
      <c r="G30" s="2093">
        <f t="shared" si="4"/>
        <v>461</v>
      </c>
      <c r="H30" s="2093">
        <f t="shared" si="4"/>
        <v>553</v>
      </c>
      <c r="I30" s="2093">
        <f t="shared" si="4"/>
        <v>425</v>
      </c>
      <c r="J30" s="2093">
        <v>35</v>
      </c>
      <c r="K30" s="2093">
        <f>K9+K16+K23</f>
        <v>97</v>
      </c>
      <c r="L30" s="2093">
        <f>L9+L16+L23</f>
        <v>245</v>
      </c>
      <c r="M30" s="2093">
        <f>M9+M16+M23</f>
        <v>273</v>
      </c>
      <c r="N30" s="3021">
        <f>N9+N16+N23</f>
        <v>393</v>
      </c>
    </row>
    <row r="31" spans="1:14" ht="26.45">
      <c r="A31" s="4013"/>
      <c r="B31" s="4025"/>
      <c r="C31" s="2098" t="s">
        <v>883</v>
      </c>
      <c r="D31" s="2094">
        <f t="shared" ref="D31:L31" si="5">D30/D29</f>
        <v>0.38310412573673869</v>
      </c>
      <c r="E31" s="2094">
        <f t="shared" si="5"/>
        <v>0.49552772808586765</v>
      </c>
      <c r="F31" s="2094">
        <f t="shared" si="5"/>
        <v>0.75210970464135019</v>
      </c>
      <c r="G31" s="2094">
        <f t="shared" si="5"/>
        <v>0.66714905933429813</v>
      </c>
      <c r="H31" s="2094">
        <f t="shared" si="5"/>
        <v>0.68271604938271602</v>
      </c>
      <c r="I31" s="2094">
        <f t="shared" si="5"/>
        <v>0.50295857988165682</v>
      </c>
      <c r="J31" s="2094">
        <f t="shared" si="5"/>
        <v>1.158173395102581E-2</v>
      </c>
      <c r="K31" s="2094">
        <f t="shared" si="5"/>
        <v>3.9852095316351685E-2</v>
      </c>
      <c r="L31" s="2094">
        <f t="shared" si="5"/>
        <v>0.28925619834710742</v>
      </c>
      <c r="M31" s="2094">
        <f>M30/M29</f>
        <v>0.40625</v>
      </c>
      <c r="N31" s="3022">
        <f>N30/N29</f>
        <v>0.3782483156881617</v>
      </c>
    </row>
    <row r="32" spans="1:14" ht="14.25" customHeight="1">
      <c r="A32" s="4013"/>
      <c r="B32" s="4025"/>
      <c r="C32" s="2098" t="s">
        <v>884</v>
      </c>
      <c r="D32" s="2095">
        <f>D18+D25</f>
        <v>651</v>
      </c>
      <c r="E32" s="2095">
        <f>E18+E25</f>
        <v>963</v>
      </c>
      <c r="F32" s="2095" t="s">
        <v>24</v>
      </c>
      <c r="G32" s="2095">
        <f>G18+G25</f>
        <v>903</v>
      </c>
      <c r="H32" s="2095">
        <f>H18+H25</f>
        <v>1354</v>
      </c>
      <c r="I32" s="2095">
        <f>I18+I25</f>
        <v>914</v>
      </c>
      <c r="J32" s="2095">
        <f>J18+J25+J11</f>
        <v>35</v>
      </c>
      <c r="K32" s="2095">
        <f>SUM(K25,K18,K11)</f>
        <v>131</v>
      </c>
      <c r="L32" s="2095">
        <f t="shared" ref="L32:N33" si="6">L11+L18+L25</f>
        <v>245</v>
      </c>
      <c r="M32" s="2095">
        <f t="shared" si="6"/>
        <v>273</v>
      </c>
      <c r="N32" s="3023">
        <f t="shared" si="6"/>
        <v>393</v>
      </c>
    </row>
    <row r="33" spans="1:14" ht="14.25" customHeight="1">
      <c r="A33" s="4013"/>
      <c r="B33" s="4025"/>
      <c r="C33" s="2102" t="s">
        <v>885</v>
      </c>
      <c r="D33" s="2095" t="s">
        <v>24</v>
      </c>
      <c r="E33" s="2095" t="s">
        <v>24</v>
      </c>
      <c r="F33" s="2095" t="s">
        <v>24</v>
      </c>
      <c r="G33" s="2095" t="s">
        <v>24</v>
      </c>
      <c r="H33" s="2095" t="s">
        <v>24</v>
      </c>
      <c r="I33" s="2095" t="s">
        <v>24</v>
      </c>
      <c r="J33" s="2095" t="s">
        <v>24</v>
      </c>
      <c r="K33" s="2095">
        <f>SUM(K26,K19,K12)</f>
        <v>418</v>
      </c>
      <c r="L33" s="2095">
        <f t="shared" si="6"/>
        <v>245</v>
      </c>
      <c r="M33" s="2095">
        <f t="shared" si="6"/>
        <v>352</v>
      </c>
      <c r="N33" s="3023">
        <f t="shared" si="6"/>
        <v>863</v>
      </c>
    </row>
    <row r="34" spans="1:14" ht="14.65" customHeight="1" thickBot="1">
      <c r="A34" s="4013"/>
      <c r="B34" s="4026"/>
      <c r="C34" s="2099" t="s">
        <v>886</v>
      </c>
      <c r="D34" s="2096" t="s">
        <v>24</v>
      </c>
      <c r="E34" s="2096" t="s">
        <v>24</v>
      </c>
      <c r="F34" s="2096" t="s">
        <v>24</v>
      </c>
      <c r="G34" s="2096" t="s">
        <v>24</v>
      </c>
      <c r="H34" s="2096" t="s">
        <v>24</v>
      </c>
      <c r="I34" s="2096" t="s">
        <v>24</v>
      </c>
      <c r="J34" s="2096">
        <v>0.17599999999999999</v>
      </c>
      <c r="K34" s="2096">
        <f>K33/K29</f>
        <v>0.17173377156943304</v>
      </c>
      <c r="L34" s="2096">
        <f>L33/L29</f>
        <v>0.28925619834710742</v>
      </c>
      <c r="M34" s="2096">
        <f>M33/M29</f>
        <v>0.52380952380952384</v>
      </c>
      <c r="N34" s="3024">
        <f>N33/N29</f>
        <v>0.83060635226179014</v>
      </c>
    </row>
  </sheetData>
  <mergeCells count="11">
    <mergeCell ref="A1:B1"/>
    <mergeCell ref="A2:C2"/>
    <mergeCell ref="A5:A6"/>
    <mergeCell ref="A7:A34"/>
    <mergeCell ref="D5:N5"/>
    <mergeCell ref="B7:B13"/>
    <mergeCell ref="B14:B20"/>
    <mergeCell ref="B21:B27"/>
    <mergeCell ref="B28:B34"/>
    <mergeCell ref="B5:B6"/>
    <mergeCell ref="C5:C6"/>
  </mergeCells>
  <pageMargins left="0.7" right="0.7" top="0.75" bottom="0.75" header="0.3" footer="0.3"/>
  <pageSetup paperSize="9" orientation="portrait" r:id="rId1"/>
  <headerFooter>
    <oddFooter>&amp;C_x000D_&amp;1#&amp;"Calibri"&amp;10&amp;K000000 C2 - Internal</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2D1C1-8D7B-45D6-89CD-A9DB57990814}">
  <sheetPr codeName="Sheet25">
    <tabColor theme="0"/>
  </sheetPr>
  <dimension ref="A1:M27"/>
  <sheetViews>
    <sheetView showGridLines="0" zoomScaleNormal="100" workbookViewId="0"/>
  </sheetViews>
  <sheetFormatPr defaultColWidth="9.140625" defaultRowHeight="14.45"/>
  <cols>
    <col min="1" max="1" width="2.28515625" customWidth="1"/>
    <col min="2" max="2" width="25.7109375" customWidth="1"/>
    <col min="3" max="3" width="7.85546875" hidden="1" customWidth="1"/>
    <col min="4" max="5" width="9.140625" hidden="1" customWidth="1"/>
    <col min="6" max="11" width="10.7109375" customWidth="1"/>
  </cols>
  <sheetData>
    <row r="1" spans="1:13" ht="18" customHeight="1">
      <c r="B1" s="11" t="s">
        <v>888</v>
      </c>
      <c r="C1" s="11"/>
      <c r="D1" s="11"/>
      <c r="E1" s="11"/>
      <c r="F1" s="11"/>
      <c r="G1" s="11"/>
      <c r="H1" s="11"/>
      <c r="I1" s="11"/>
      <c r="J1" s="11"/>
      <c r="K1" s="11"/>
      <c r="L1" s="11"/>
      <c r="M1" s="11"/>
    </row>
    <row r="2" spans="1:13" ht="17.45">
      <c r="B2" s="3723" t="s">
        <v>889</v>
      </c>
      <c r="C2" s="3723"/>
      <c r="D2" s="3723"/>
      <c r="E2" s="3723"/>
      <c r="F2" s="3723"/>
      <c r="G2" s="3723"/>
      <c r="H2" s="3723"/>
      <c r="I2" s="3723"/>
      <c r="J2" s="3723"/>
      <c r="K2" s="3723"/>
      <c r="L2" s="3723"/>
    </row>
    <row r="3" spans="1:13" ht="15" thickBot="1"/>
    <row r="4" spans="1:13">
      <c r="C4" s="724" t="s">
        <v>10</v>
      </c>
      <c r="D4" s="181" t="s">
        <v>11</v>
      </c>
      <c r="E4" s="181" t="s">
        <v>12</v>
      </c>
      <c r="F4" s="4029"/>
      <c r="G4" s="4029"/>
      <c r="H4" s="4029"/>
      <c r="I4" s="4029"/>
      <c r="J4" s="4029"/>
      <c r="K4" s="4029"/>
    </row>
    <row r="5" spans="1:13">
      <c r="B5" s="4011" t="s">
        <v>890</v>
      </c>
      <c r="C5" s="4011"/>
      <c r="D5" s="4011"/>
      <c r="E5" s="4011"/>
      <c r="F5" s="4011"/>
      <c r="G5" s="4011"/>
      <c r="H5" s="4011"/>
      <c r="I5" s="4011"/>
      <c r="J5" s="4011"/>
      <c r="K5" s="4011"/>
    </row>
    <row r="6" spans="1:13" ht="15" thickBot="1">
      <c r="B6" s="719"/>
      <c r="C6" s="719"/>
      <c r="D6" s="719"/>
      <c r="E6" s="719"/>
      <c r="F6" s="719"/>
      <c r="G6" s="719"/>
      <c r="H6" s="719"/>
      <c r="I6" s="719"/>
      <c r="J6" s="719"/>
      <c r="K6" s="719"/>
    </row>
    <row r="7" spans="1:13" ht="26.65" customHeight="1" thickBot="1">
      <c r="B7" s="504"/>
      <c r="C7" s="1012" t="s">
        <v>857</v>
      </c>
      <c r="D7" s="182" t="s">
        <v>857</v>
      </c>
      <c r="E7" s="182" t="s">
        <v>857</v>
      </c>
      <c r="F7" s="2117" t="s">
        <v>13</v>
      </c>
      <c r="G7" s="2118" t="s">
        <v>14</v>
      </c>
      <c r="H7" s="2118" t="s">
        <v>15</v>
      </c>
      <c r="I7" s="2118" t="s">
        <v>16</v>
      </c>
      <c r="J7" s="2118" t="s">
        <v>163</v>
      </c>
      <c r="K7" s="1665" t="s">
        <v>164</v>
      </c>
    </row>
    <row r="8" spans="1:13" ht="15" thickBot="1">
      <c r="A8" s="507"/>
      <c r="B8" s="1666" t="s">
        <v>183</v>
      </c>
      <c r="C8" s="505">
        <v>0.56000000000000005</v>
      </c>
      <c r="D8" s="505">
        <v>0.42</v>
      </c>
      <c r="E8" s="505">
        <v>0.45</v>
      </c>
      <c r="F8" s="2128" t="s">
        <v>891</v>
      </c>
      <c r="G8" s="2129">
        <v>40.9</v>
      </c>
      <c r="H8" s="2130">
        <v>41</v>
      </c>
      <c r="I8" s="2129" t="s">
        <v>892</v>
      </c>
      <c r="J8" s="2127">
        <v>0.1023</v>
      </c>
      <c r="K8" s="3085" t="s">
        <v>892</v>
      </c>
    </row>
    <row r="11" spans="1:13">
      <c r="B11" s="4011" t="s">
        <v>893</v>
      </c>
      <c r="C11" s="4011"/>
      <c r="D11" s="4011"/>
      <c r="E11" s="4011"/>
      <c r="F11" s="4011"/>
      <c r="G11" s="4011"/>
      <c r="H11" s="4011"/>
      <c r="I11" s="4011"/>
      <c r="J11" s="4011"/>
      <c r="K11" s="4011"/>
    </row>
    <row r="12" spans="1:13" ht="15" thickBot="1">
      <c r="B12" s="719"/>
      <c r="C12" s="719"/>
      <c r="D12" s="719"/>
      <c r="E12" s="719"/>
      <c r="F12" s="719"/>
      <c r="G12" s="719"/>
      <c r="H12" s="719"/>
      <c r="I12" s="719"/>
      <c r="J12" s="719"/>
      <c r="K12" s="719"/>
    </row>
    <row r="13" spans="1:13" ht="28.9" customHeight="1" thickBot="1">
      <c r="C13" s="1316" t="s">
        <v>10</v>
      </c>
      <c r="D13" s="1317" t="s">
        <v>11</v>
      </c>
      <c r="E13" s="1318" t="s">
        <v>12</v>
      </c>
      <c r="F13" s="2117" t="s">
        <v>13</v>
      </c>
      <c r="G13" s="2118" t="s">
        <v>14</v>
      </c>
      <c r="H13" s="2118" t="s">
        <v>15</v>
      </c>
      <c r="I13" s="2118" t="s">
        <v>16</v>
      </c>
      <c r="J13" s="2118" t="s">
        <v>163</v>
      </c>
      <c r="K13" s="1665" t="s">
        <v>164</v>
      </c>
    </row>
    <row r="14" spans="1:13">
      <c r="A14" s="507"/>
      <c r="B14" s="1667" t="s">
        <v>165</v>
      </c>
      <c r="C14" s="1314" t="s">
        <v>132</v>
      </c>
      <c r="D14" s="1315" t="s">
        <v>132</v>
      </c>
      <c r="E14" s="1315" t="s">
        <v>132</v>
      </c>
      <c r="F14" s="1247">
        <v>0.50490000000000002</v>
      </c>
      <c r="G14" s="2123">
        <v>0.25</v>
      </c>
      <c r="H14" s="2123">
        <v>5.79E-2</v>
      </c>
      <c r="I14" s="2123">
        <v>0.46150000000000002</v>
      </c>
      <c r="J14" s="2119">
        <v>0.4783</v>
      </c>
      <c r="K14" s="2944">
        <v>0.69</v>
      </c>
    </row>
    <row r="15" spans="1:13">
      <c r="A15" s="507"/>
      <c r="B15" s="1668" t="s">
        <v>175</v>
      </c>
      <c r="C15" s="806" t="s">
        <v>132</v>
      </c>
      <c r="D15" s="806" t="s">
        <v>132</v>
      </c>
      <c r="E15" s="806" t="s">
        <v>132</v>
      </c>
      <c r="F15" s="1248">
        <v>0.63929999999999998</v>
      </c>
      <c r="G15" s="2126">
        <v>5.5599999999999997E-2</v>
      </c>
      <c r="H15" s="2124">
        <v>1.44E-2</v>
      </c>
      <c r="I15" s="2124">
        <v>0.45450000000000002</v>
      </c>
      <c r="J15" s="2120">
        <v>0.5333</v>
      </c>
      <c r="K15" s="2945">
        <v>0.39</v>
      </c>
    </row>
    <row r="16" spans="1:13">
      <c r="A16" s="507"/>
      <c r="B16" s="1668" t="s">
        <v>172</v>
      </c>
      <c r="C16" s="805" t="s">
        <v>132</v>
      </c>
      <c r="D16" s="805" t="s">
        <v>132</v>
      </c>
      <c r="E16" s="805" t="s">
        <v>132</v>
      </c>
      <c r="F16" s="1249">
        <v>0.4375</v>
      </c>
      <c r="G16" s="2124">
        <v>5.5599999999999997E-2</v>
      </c>
      <c r="H16" s="2124">
        <v>1.44E-2</v>
      </c>
      <c r="I16" s="2124">
        <v>0.2727</v>
      </c>
      <c r="J16" s="2120">
        <v>0.5</v>
      </c>
      <c r="K16" s="2945">
        <v>0.4</v>
      </c>
    </row>
    <row r="17" spans="1:11">
      <c r="A17" s="507"/>
      <c r="B17" s="1669" t="s">
        <v>894</v>
      </c>
      <c r="C17" s="807" t="s">
        <v>132</v>
      </c>
      <c r="D17" s="807" t="s">
        <v>132</v>
      </c>
      <c r="E17" s="807" t="s">
        <v>132</v>
      </c>
      <c r="F17" s="1250">
        <v>0.35899999999999999</v>
      </c>
      <c r="G17" s="2125">
        <v>0</v>
      </c>
      <c r="H17" s="2125">
        <v>0.3478</v>
      </c>
      <c r="I17" s="2124">
        <v>0.23380000000000001</v>
      </c>
      <c r="J17" s="2120">
        <v>0.2923</v>
      </c>
      <c r="K17" s="2945">
        <v>0.25</v>
      </c>
    </row>
    <row r="18" spans="1:11">
      <c r="A18" s="507"/>
      <c r="B18" s="1669" t="s">
        <v>282</v>
      </c>
      <c r="C18" s="807"/>
      <c r="D18" s="807"/>
      <c r="E18" s="807"/>
      <c r="F18" s="1250" t="s">
        <v>24</v>
      </c>
      <c r="G18" s="2125" t="s">
        <v>24</v>
      </c>
      <c r="H18" s="2125" t="s">
        <v>24</v>
      </c>
      <c r="I18" s="2124" t="s">
        <v>24</v>
      </c>
      <c r="J18" s="2121">
        <v>0.25</v>
      </c>
      <c r="K18" s="2946">
        <v>0.24</v>
      </c>
    </row>
    <row r="19" spans="1:11" ht="15" thickBot="1">
      <c r="A19" s="507"/>
      <c r="B19" s="1670" t="s">
        <v>887</v>
      </c>
      <c r="C19" s="808" t="s">
        <v>132</v>
      </c>
      <c r="D19" s="808" t="s">
        <v>132</v>
      </c>
      <c r="E19" s="808" t="s">
        <v>132</v>
      </c>
      <c r="F19" s="875">
        <v>0.4395</v>
      </c>
      <c r="G19" s="2122">
        <v>0.23200000000000001</v>
      </c>
      <c r="H19" s="2122">
        <v>0.46379999999999999</v>
      </c>
      <c r="I19" s="2122">
        <v>0.2772</v>
      </c>
      <c r="J19" s="2122">
        <v>0.3241</v>
      </c>
      <c r="K19" s="2947">
        <v>0.33</v>
      </c>
    </row>
    <row r="20" spans="1:11">
      <c r="I20" s="506"/>
      <c r="J20" s="506"/>
      <c r="K20" s="506"/>
    </row>
    <row r="22" spans="1:11" ht="14.25" customHeight="1">
      <c r="B22" s="4011" t="s">
        <v>893</v>
      </c>
      <c r="C22" s="4011"/>
      <c r="D22" s="4011"/>
      <c r="E22" s="4011"/>
      <c r="F22" s="4011"/>
      <c r="G22" s="4011"/>
      <c r="H22" s="4011"/>
      <c r="I22" s="4011"/>
      <c r="J22" s="4011"/>
      <c r="K22" s="4011"/>
    </row>
    <row r="24" spans="1:11" ht="15" thickBot="1"/>
    <row r="25" spans="1:11" ht="15" thickBot="1">
      <c r="C25" s="1316" t="s">
        <v>10</v>
      </c>
      <c r="D25" s="1317" t="s">
        <v>11</v>
      </c>
      <c r="E25" s="1318" t="s">
        <v>12</v>
      </c>
      <c r="F25" s="2117" t="s">
        <v>13</v>
      </c>
      <c r="G25" s="2118" t="s">
        <v>14</v>
      </c>
      <c r="H25" s="2118" t="s">
        <v>15</v>
      </c>
      <c r="I25" s="2118" t="s">
        <v>16</v>
      </c>
      <c r="J25" s="2118" t="s">
        <v>163</v>
      </c>
      <c r="K25" s="1665" t="s">
        <v>164</v>
      </c>
    </row>
    <row r="26" spans="1:11">
      <c r="B26" s="1667" t="s">
        <v>251</v>
      </c>
      <c r="C26" s="1314" t="s">
        <v>132</v>
      </c>
      <c r="D26" s="1315" t="s">
        <v>132</v>
      </c>
      <c r="E26" s="1315" t="s">
        <v>132</v>
      </c>
      <c r="F26" s="3244" t="s">
        <v>891</v>
      </c>
      <c r="G26" s="3245" t="s">
        <v>891</v>
      </c>
      <c r="H26" s="3245" t="s">
        <v>891</v>
      </c>
      <c r="I26" s="3242" t="s">
        <v>891</v>
      </c>
      <c r="J26" s="3240" t="s">
        <v>891</v>
      </c>
      <c r="K26" s="2944">
        <v>0.57999999999999996</v>
      </c>
    </row>
    <row r="27" spans="1:11" ht="15" thickBot="1">
      <c r="A27" s="507"/>
      <c r="B27" s="2843" t="s">
        <v>253</v>
      </c>
      <c r="C27" s="806" t="s">
        <v>132</v>
      </c>
      <c r="D27" s="806" t="s">
        <v>132</v>
      </c>
      <c r="E27" s="806" t="s">
        <v>132</v>
      </c>
      <c r="F27" s="2844" t="s">
        <v>891</v>
      </c>
      <c r="G27" s="3246" t="s">
        <v>891</v>
      </c>
      <c r="H27" s="3246" t="s">
        <v>891</v>
      </c>
      <c r="I27" s="3243" t="s">
        <v>891</v>
      </c>
      <c r="J27" s="3241" t="s">
        <v>891</v>
      </c>
      <c r="K27" s="2947">
        <v>0.42</v>
      </c>
    </row>
  </sheetData>
  <mergeCells count="5">
    <mergeCell ref="B22:K22"/>
    <mergeCell ref="B11:K11"/>
    <mergeCell ref="B5:K5"/>
    <mergeCell ref="B2:L2"/>
    <mergeCell ref="F4:K4"/>
  </mergeCells>
  <phoneticPr fontId="16" type="noConversion"/>
  <pageMargins left="0.7" right="0.7" top="0.75" bottom="0.75" header="0.3" footer="0.3"/>
  <headerFooter>
    <oddFooter>&amp;C_x000D_&amp;1#&amp;"Calibri"&amp;10&amp;K000000 C2 - Internal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C1FEF-C6E8-4F88-BF53-E98CA3C1CF80}">
  <sheetPr codeName="Sheet4" filterMode="1">
    <tabColor rgb="FFFFFF00"/>
    <pageSetUpPr fitToPage="1"/>
  </sheetPr>
  <dimension ref="A1:U111"/>
  <sheetViews>
    <sheetView topLeftCell="A2" zoomScale="60" zoomScaleNormal="60" workbookViewId="0">
      <selection activeCell="A3" sqref="A3"/>
    </sheetView>
  </sheetViews>
  <sheetFormatPr defaultColWidth="8.5703125" defaultRowHeight="23.45"/>
  <cols>
    <col min="1" max="1" width="42.42578125" style="230" customWidth="1"/>
    <col min="2" max="2" width="18.42578125" style="437" customWidth="1"/>
    <col min="3" max="3" width="79.42578125" style="440" customWidth="1"/>
    <col min="4" max="4" width="10.42578125" style="224" customWidth="1"/>
    <col min="5" max="5" width="74.5703125" style="438" customWidth="1"/>
    <col min="6" max="7" width="23" style="439" customWidth="1"/>
    <col min="8" max="10" width="12.5703125" style="439" hidden="1" customWidth="1"/>
    <col min="11" max="11" width="30" style="439" customWidth="1"/>
    <col min="12" max="13" width="30" style="230" customWidth="1"/>
    <col min="14" max="15" width="30" style="850" customWidth="1"/>
    <col min="16" max="16" width="24" style="454" customWidth="1"/>
    <col min="17" max="17" width="33.42578125" style="230" hidden="1" customWidth="1"/>
    <col min="18" max="18" width="37.5703125" style="230" customWidth="1"/>
    <col min="19" max="19" width="8.28515625" style="230" customWidth="1"/>
    <col min="20" max="20" width="15" style="230" customWidth="1"/>
    <col min="21" max="21" width="16.5703125" style="230" customWidth="1"/>
    <col min="22" max="16384" width="8.5703125" style="230"/>
  </cols>
  <sheetData>
    <row r="1" spans="1:21" ht="39" customHeight="1">
      <c r="A1" s="221" t="s">
        <v>2</v>
      </c>
      <c r="B1" s="222"/>
      <c r="C1" s="223"/>
      <c r="E1" s="225"/>
      <c r="F1" s="226"/>
      <c r="G1" s="226"/>
      <c r="H1" s="227"/>
      <c r="I1" s="226"/>
      <c r="J1" s="226"/>
      <c r="K1" s="226"/>
      <c r="L1" s="228"/>
      <c r="M1" s="228"/>
      <c r="N1" s="809"/>
      <c r="O1" s="809"/>
      <c r="P1" s="229"/>
    </row>
    <row r="2" spans="1:21" ht="69.75" customHeight="1">
      <c r="A2" s="231" t="s">
        <v>3</v>
      </c>
      <c r="B2" s="232"/>
      <c r="C2" s="231" t="s">
        <v>4</v>
      </c>
      <c r="D2" s="233" t="s">
        <v>5</v>
      </c>
      <c r="E2" s="231" t="s">
        <v>6</v>
      </c>
      <c r="F2" s="234" t="s">
        <v>7</v>
      </c>
      <c r="G2" s="234" t="s">
        <v>8</v>
      </c>
      <c r="H2" s="234" t="s">
        <v>9</v>
      </c>
      <c r="I2" s="234" t="s">
        <v>10</v>
      </c>
      <c r="J2" s="234" t="s">
        <v>11</v>
      </c>
      <c r="K2" s="234" t="s">
        <v>12</v>
      </c>
      <c r="L2" s="234" t="s">
        <v>13</v>
      </c>
      <c r="M2" s="234" t="s">
        <v>14</v>
      </c>
      <c r="N2" s="810" t="s">
        <v>15</v>
      </c>
      <c r="O2" s="810" t="s">
        <v>16</v>
      </c>
      <c r="P2" s="235" t="s">
        <v>17</v>
      </c>
      <c r="Q2" s="234" t="s">
        <v>18</v>
      </c>
      <c r="T2" s="440" t="s">
        <v>154</v>
      </c>
      <c r="U2" s="440" t="s">
        <v>155</v>
      </c>
    </row>
    <row r="3" spans="1:21" s="244" customFormat="1" ht="39.6" hidden="1">
      <c r="A3" s="3435" t="s">
        <v>19</v>
      </c>
      <c r="B3" s="3438" t="s">
        <v>20</v>
      </c>
      <c r="C3" s="236" t="s">
        <v>21</v>
      </c>
      <c r="D3" s="237">
        <v>2020</v>
      </c>
      <c r="E3" s="238" t="s">
        <v>22</v>
      </c>
      <c r="F3" s="239" t="s">
        <v>23</v>
      </c>
      <c r="G3" s="239" t="s">
        <v>23</v>
      </c>
      <c r="H3" s="237" t="s">
        <v>24</v>
      </c>
      <c r="I3" s="237" t="s">
        <v>24</v>
      </c>
      <c r="J3" s="237" t="s">
        <v>24</v>
      </c>
      <c r="K3" s="237" t="s">
        <v>24</v>
      </c>
      <c r="L3" s="237" t="s">
        <v>24</v>
      </c>
      <c r="M3" s="240" t="s">
        <v>25</v>
      </c>
      <c r="N3" s="240"/>
      <c r="O3" s="240"/>
      <c r="P3" s="241">
        <v>1</v>
      </c>
      <c r="Q3" s="242"/>
      <c r="R3" s="243"/>
    </row>
    <row r="4" spans="1:21" s="244" customFormat="1" ht="29.45" hidden="1">
      <c r="A4" s="3436"/>
      <c r="B4" s="3439"/>
      <c r="C4" s="3441" t="s">
        <v>26</v>
      </c>
      <c r="D4" s="245">
        <v>2038</v>
      </c>
      <c r="E4" s="246" t="s">
        <v>22</v>
      </c>
      <c r="F4" s="247" t="s">
        <v>23</v>
      </c>
      <c r="G4" s="247" t="s">
        <v>23</v>
      </c>
      <c r="H4" s="245" t="s">
        <v>24</v>
      </c>
      <c r="I4" s="245" t="s">
        <v>24</v>
      </c>
      <c r="J4" s="245" t="s">
        <v>24</v>
      </c>
      <c r="K4" s="245" t="s">
        <v>24</v>
      </c>
      <c r="L4" s="245" t="s">
        <v>24</v>
      </c>
      <c r="M4" s="248" t="s">
        <v>27</v>
      </c>
      <c r="N4" s="248"/>
      <c r="O4" s="248"/>
      <c r="P4" s="248" t="s">
        <v>24</v>
      </c>
      <c r="Q4" s="249"/>
      <c r="R4" s="243"/>
    </row>
    <row r="5" spans="1:21" s="244" customFormat="1" ht="39.6">
      <c r="A5" s="3436"/>
      <c r="B5" s="3439"/>
      <c r="C5" s="3442"/>
      <c r="D5" s="250" t="s">
        <v>24</v>
      </c>
      <c r="E5" s="251" t="s">
        <v>28</v>
      </c>
      <c r="F5" s="247" t="s">
        <v>29</v>
      </c>
      <c r="G5" s="247" t="s">
        <v>29</v>
      </c>
      <c r="H5" s="252" t="s">
        <v>30</v>
      </c>
      <c r="I5" s="252" t="s">
        <v>30</v>
      </c>
      <c r="J5" s="252" t="s">
        <v>30</v>
      </c>
      <c r="K5" s="253">
        <f>[1]Emissions!Y8</f>
        <v>59405579.033116855</v>
      </c>
      <c r="L5" s="252">
        <f>[1]Emissions!X8</f>
        <v>62208693.350000001</v>
      </c>
      <c r="M5" s="252">
        <v>53325584</v>
      </c>
      <c r="N5" s="813">
        <v>48186436</v>
      </c>
      <c r="O5" s="813">
        <v>56022204</v>
      </c>
      <c r="P5" s="254">
        <f>(O5-N5)/N5</f>
        <v>0.16261356204057092</v>
      </c>
      <c r="Q5" s="262"/>
      <c r="R5" s="243" t="str">
        <f>IF(O5&lt;N5,"Postive Change","Negative Change")</f>
        <v>Negative Change</v>
      </c>
      <c r="T5" s="244">
        <f>COUNTIF(R:R, "Negative Change")</f>
        <v>8</v>
      </c>
      <c r="U5" s="244">
        <f>COUNTIF(R:R, "Positive Change")</f>
        <v>0</v>
      </c>
    </row>
    <row r="6" spans="1:21" s="244" customFormat="1" ht="39.6">
      <c r="A6" s="3436"/>
      <c r="B6" s="3439"/>
      <c r="C6" s="3442"/>
      <c r="D6" s="250"/>
      <c r="E6" s="256" t="s">
        <v>31</v>
      </c>
      <c r="F6" s="247" t="s">
        <v>23</v>
      </c>
      <c r="G6" s="247" t="s">
        <v>29</v>
      </c>
      <c r="H6" s="252" t="s">
        <v>30</v>
      </c>
      <c r="I6" s="252" t="s">
        <v>30</v>
      </c>
      <c r="J6" s="252" t="s">
        <v>30</v>
      </c>
      <c r="K6" s="257">
        <f>SUM(1/[1]Energy!BK31)*[1]Energy!BK30</f>
        <v>0.71785083172072228</v>
      </c>
      <c r="L6" s="258">
        <f>SUM(1/[1]Energy!BJ31)*[1]Energy!BJ30</f>
        <v>0.7041179110793313</v>
      </c>
      <c r="M6" s="721">
        <f>SUM(1/[1]Energy!BI31)*[1]Energy!BI30</f>
        <v>0.63112322642282914</v>
      </c>
      <c r="N6" s="721">
        <v>0.68600000000000005</v>
      </c>
      <c r="O6" s="721">
        <v>0.74</v>
      </c>
      <c r="P6" s="254">
        <f t="shared" ref="P6:P16" si="0">(O6-N6)/N6</f>
        <v>7.8717201166180653E-2</v>
      </c>
      <c r="Q6" s="255"/>
      <c r="R6" s="243" t="str">
        <f t="shared" ref="R6:R16" si="1">IF(O6&lt;N6,"Postive Change","Negative Change")</f>
        <v>Negative Change</v>
      </c>
    </row>
    <row r="7" spans="1:21" s="244" customFormat="1" ht="39.6">
      <c r="A7" s="3436"/>
      <c r="B7" s="3439"/>
      <c r="C7" s="3442"/>
      <c r="D7" s="250"/>
      <c r="E7" s="256" t="s">
        <v>32</v>
      </c>
      <c r="F7" s="247" t="s">
        <v>23</v>
      </c>
      <c r="G7" s="247" t="s">
        <v>29</v>
      </c>
      <c r="H7" s="252" t="s">
        <v>30</v>
      </c>
      <c r="I7" s="252" t="s">
        <v>30</v>
      </c>
      <c r="J7" s="252" t="s">
        <v>30</v>
      </c>
      <c r="K7" s="253">
        <f>[1]Emissions!$Y$14</f>
        <v>15374.087323660136</v>
      </c>
      <c r="L7" s="252">
        <f>[1]Emissions!$X$14</f>
        <v>14714.199774589475</v>
      </c>
      <c r="M7" s="252">
        <v>11644.8</v>
      </c>
      <c r="N7" s="813">
        <v>9956.2000000000007</v>
      </c>
      <c r="O7" s="813">
        <v>10869.8</v>
      </c>
      <c r="P7" s="254">
        <f t="shared" si="0"/>
        <v>9.1761917197324128E-2</v>
      </c>
      <c r="Q7" s="262"/>
      <c r="R7" s="243" t="str">
        <f t="shared" si="1"/>
        <v>Negative Change</v>
      </c>
    </row>
    <row r="8" spans="1:21" s="244" customFormat="1" ht="39.6">
      <c r="A8" s="3436"/>
      <c r="B8" s="3439"/>
      <c r="C8" s="3442"/>
      <c r="D8" s="250"/>
      <c r="E8" s="256" t="s">
        <v>33</v>
      </c>
      <c r="F8" s="247" t="s">
        <v>29</v>
      </c>
      <c r="G8" s="247" t="s">
        <v>29</v>
      </c>
      <c r="H8" s="252" t="s">
        <v>30</v>
      </c>
      <c r="I8" s="252" t="s">
        <v>30</v>
      </c>
      <c r="J8" s="252" t="s">
        <v>30</v>
      </c>
      <c r="K8" s="482">
        <f>[1]Emissions!$Y$15</f>
        <v>3303.4926342260346</v>
      </c>
      <c r="L8" s="264">
        <f>[1]Emissions!$X$15</f>
        <v>3525.1016688267941</v>
      </c>
      <c r="M8" s="264">
        <v>3775.2</v>
      </c>
      <c r="N8" s="857">
        <v>2850.5</v>
      </c>
      <c r="O8" s="857">
        <v>2765.8</v>
      </c>
      <c r="P8" s="254">
        <f t="shared" si="0"/>
        <v>-2.9714085248202005E-2</v>
      </c>
      <c r="Q8" s="255"/>
      <c r="R8" s="243" t="str">
        <f t="shared" si="1"/>
        <v>Postive Change</v>
      </c>
    </row>
    <row r="9" spans="1:21" s="244" customFormat="1" ht="39.6">
      <c r="A9" s="3436"/>
      <c r="B9" s="3439"/>
      <c r="C9" s="3442"/>
      <c r="D9" s="250" t="s">
        <v>24</v>
      </c>
      <c r="E9" s="260" t="s">
        <v>34</v>
      </c>
      <c r="F9" s="247" t="s">
        <v>29</v>
      </c>
      <c r="G9" s="247" t="s">
        <v>29</v>
      </c>
      <c r="H9" s="252" t="s">
        <v>30</v>
      </c>
      <c r="I9" s="252" t="s">
        <v>30</v>
      </c>
      <c r="J9" s="252" t="s">
        <v>30</v>
      </c>
      <c r="K9" s="261">
        <f>[1]Emissions!Y18</f>
        <v>0.10693300088189973</v>
      </c>
      <c r="L9" s="261">
        <f>[1]Emissions!X18</f>
        <v>0.11987544021759075</v>
      </c>
      <c r="M9" s="261">
        <v>0.63</v>
      </c>
      <c r="N9" s="856">
        <v>0.22</v>
      </c>
      <c r="O9" s="856">
        <v>0.1</v>
      </c>
      <c r="P9" s="254">
        <f t="shared" si="0"/>
        <v>-0.54545454545454541</v>
      </c>
      <c r="Q9" s="255"/>
      <c r="R9" s="243" t="str">
        <f t="shared" si="1"/>
        <v>Postive Change</v>
      </c>
    </row>
    <row r="10" spans="1:21" s="244" customFormat="1" ht="39.6">
      <c r="A10" s="3436"/>
      <c r="B10" s="3439"/>
      <c r="C10" s="3442"/>
      <c r="D10" s="250"/>
      <c r="E10" s="263" t="s">
        <v>35</v>
      </c>
      <c r="F10" s="247" t="s">
        <v>29</v>
      </c>
      <c r="G10" s="247" t="s">
        <v>29</v>
      </c>
      <c r="H10" s="252" t="s">
        <v>30</v>
      </c>
      <c r="I10" s="252" t="s">
        <v>30</v>
      </c>
      <c r="J10" s="252" t="s">
        <v>30</v>
      </c>
      <c r="K10" s="264">
        <f>[1]Emissions!$Y$19</f>
        <v>3303.4926342260346</v>
      </c>
      <c r="L10" s="264">
        <f>[1]Emissions!$X$19</f>
        <v>3525.1016688267941</v>
      </c>
      <c r="M10" s="264">
        <v>3775.3</v>
      </c>
      <c r="N10" s="857">
        <v>2850.7</v>
      </c>
      <c r="O10" s="857">
        <v>2765</v>
      </c>
      <c r="P10" s="254">
        <f t="shared" si="0"/>
        <v>-3.0062791595046767E-2</v>
      </c>
      <c r="Q10" s="262"/>
      <c r="R10" s="243" t="str">
        <f t="shared" si="1"/>
        <v>Postive Change</v>
      </c>
    </row>
    <row r="11" spans="1:21" s="244" customFormat="1" ht="40.15" thickBot="1">
      <c r="A11" s="3436"/>
      <c r="B11" s="3439"/>
      <c r="C11" s="3442"/>
      <c r="D11" s="250" t="s">
        <v>24</v>
      </c>
      <c r="E11" s="265" t="s">
        <v>36</v>
      </c>
      <c r="F11" s="247" t="s">
        <v>29</v>
      </c>
      <c r="G11" s="247" t="s">
        <v>29</v>
      </c>
      <c r="H11" s="252" t="s">
        <v>30</v>
      </c>
      <c r="I11" s="252" t="s">
        <v>30</v>
      </c>
      <c r="J11" s="252" t="s">
        <v>30</v>
      </c>
      <c r="K11" s="655">
        <f>[1]Emissions!Y21</f>
        <v>0</v>
      </c>
      <c r="L11" s="655">
        <f>[1]Emissions!X21</f>
        <v>0</v>
      </c>
      <c r="M11" s="655">
        <f>[1]Emissions!W21</f>
        <v>0</v>
      </c>
      <c r="N11" s="814">
        <v>0</v>
      </c>
      <c r="O11" s="814">
        <v>0</v>
      </c>
      <c r="P11" s="254" t="e">
        <f t="shared" si="0"/>
        <v>#DIV/0!</v>
      </c>
      <c r="Q11" s="278"/>
      <c r="R11" s="243" t="str">
        <f t="shared" si="1"/>
        <v>Negative Change</v>
      </c>
    </row>
    <row r="12" spans="1:21" s="244" customFormat="1" ht="39.6">
      <c r="A12" s="3436"/>
      <c r="B12" s="3439"/>
      <c r="C12" s="3441" t="s">
        <v>37</v>
      </c>
      <c r="D12" s="3443">
        <v>2022</v>
      </c>
      <c r="E12" s="266" t="s">
        <v>38</v>
      </c>
      <c r="F12" s="247" t="s">
        <v>23</v>
      </c>
      <c r="G12" s="247" t="s">
        <v>29</v>
      </c>
      <c r="H12" s="267">
        <v>1</v>
      </c>
      <c r="I12" s="267">
        <v>1</v>
      </c>
      <c r="J12" s="267">
        <v>1</v>
      </c>
      <c r="K12" s="267">
        <v>1</v>
      </c>
      <c r="L12" s="267">
        <v>1</v>
      </c>
      <c r="M12" s="267">
        <v>1</v>
      </c>
      <c r="N12" s="815">
        <v>1</v>
      </c>
      <c r="O12" s="815">
        <v>1</v>
      </c>
      <c r="P12" s="254">
        <f t="shared" si="0"/>
        <v>0</v>
      </c>
      <c r="Q12" s="278"/>
      <c r="R12" s="243" t="str">
        <f t="shared" si="1"/>
        <v>Negative Change</v>
      </c>
    </row>
    <row r="13" spans="1:21" s="244" customFormat="1" ht="39.6">
      <c r="A13" s="3436"/>
      <c r="B13" s="3439"/>
      <c r="C13" s="3441"/>
      <c r="D13" s="3443"/>
      <c r="E13" s="266" t="s">
        <v>39</v>
      </c>
      <c r="F13" s="247" t="s">
        <v>23</v>
      </c>
      <c r="G13" s="247" t="s">
        <v>29</v>
      </c>
      <c r="H13" s="267">
        <v>1</v>
      </c>
      <c r="I13" s="267">
        <v>1</v>
      </c>
      <c r="J13" s="267">
        <v>1</v>
      </c>
      <c r="K13" s="267">
        <v>1</v>
      </c>
      <c r="L13" s="267">
        <v>1</v>
      </c>
      <c r="M13" s="267">
        <v>1</v>
      </c>
      <c r="N13" s="815">
        <v>1</v>
      </c>
      <c r="O13" s="815">
        <v>1</v>
      </c>
      <c r="P13" s="254">
        <f t="shared" si="0"/>
        <v>0</v>
      </c>
      <c r="Q13" s="278"/>
      <c r="R13" s="243" t="str">
        <f t="shared" si="1"/>
        <v>Negative Change</v>
      </c>
    </row>
    <row r="14" spans="1:21" s="244" customFormat="1" ht="29.45">
      <c r="A14" s="3436"/>
      <c r="B14" s="3439"/>
      <c r="C14" s="3441"/>
      <c r="D14" s="3443"/>
      <c r="E14" s="251" t="s">
        <v>41</v>
      </c>
      <c r="F14" s="247" t="s">
        <v>23</v>
      </c>
      <c r="G14" s="247" t="s">
        <v>29</v>
      </c>
      <c r="H14" s="269">
        <f>'[1]Water&amp;effluents'!F19</f>
        <v>0.9</v>
      </c>
      <c r="I14" s="269">
        <f>'[1]Water&amp;effluents'!G19</f>
        <v>0.76919999999999999</v>
      </c>
      <c r="J14" s="269">
        <f>'[1]Water&amp;effluents'!H19</f>
        <v>0.84</v>
      </c>
      <c r="K14" s="269">
        <f>'[1]Water&amp;effluents'!I19</f>
        <v>0.93548387096774188</v>
      </c>
      <c r="L14" s="269">
        <f>'[1]Water&amp;effluents'!L19</f>
        <v>1</v>
      </c>
      <c r="M14" s="269">
        <f>'[1]Water&amp;effluents'!O19</f>
        <v>0.95238095238095233</v>
      </c>
      <c r="N14" s="817">
        <v>0.97899999999999998</v>
      </c>
      <c r="O14" s="817">
        <v>0.96599999999999997</v>
      </c>
      <c r="P14" s="254">
        <f t="shared" si="0"/>
        <v>-1.32788559754852E-2</v>
      </c>
      <c r="Q14" s="262"/>
      <c r="R14" s="243" t="str">
        <f t="shared" si="1"/>
        <v>Postive Change</v>
      </c>
    </row>
    <row r="15" spans="1:21" s="244" customFormat="1" ht="29.45">
      <c r="A15" s="3436"/>
      <c r="B15" s="3439"/>
      <c r="C15" s="3442"/>
      <c r="D15" s="3444"/>
      <c r="E15" s="266" t="s">
        <v>42</v>
      </c>
      <c r="F15" s="247" t="s">
        <v>23</v>
      </c>
      <c r="G15" s="247" t="s">
        <v>29</v>
      </c>
      <c r="H15" s="269">
        <f>'[1]Water&amp;effluents'!F22</f>
        <v>1</v>
      </c>
      <c r="I15" s="269">
        <f>'[1]Water&amp;effluents'!G22</f>
        <v>0.88570000000000004</v>
      </c>
      <c r="J15" s="269">
        <f>'[1]Water&amp;effluents'!H22</f>
        <v>0.98</v>
      </c>
      <c r="K15" s="269">
        <f>'[1]Water&amp;effluents'!I22</f>
        <v>0.90700000000000003</v>
      </c>
      <c r="L15" s="269">
        <f>'[1]Water&amp;effluents'!L22</f>
        <v>0.81799999999999995</v>
      </c>
      <c r="M15" s="254">
        <f>'[1]Water&amp;effluents'!O22</f>
        <v>0.8699551569506726</v>
      </c>
      <c r="N15" s="858">
        <v>0.84099999999999997</v>
      </c>
      <c r="O15" s="858">
        <v>0.96599999999999997</v>
      </c>
      <c r="P15" s="254">
        <f t="shared" si="0"/>
        <v>0.14863258026159334</v>
      </c>
      <c r="Q15" s="268"/>
      <c r="R15" s="243" t="str">
        <f t="shared" si="1"/>
        <v>Negative Change</v>
      </c>
    </row>
    <row r="16" spans="1:21" s="244" customFormat="1" ht="29.45">
      <c r="A16" s="3436"/>
      <c r="B16" s="3439"/>
      <c r="C16" s="3442"/>
      <c r="D16" s="3444"/>
      <c r="E16" s="270" t="s">
        <v>43</v>
      </c>
      <c r="F16" s="247" t="s">
        <v>23</v>
      </c>
      <c r="G16" s="247" t="s">
        <v>29</v>
      </c>
      <c r="H16" s="271">
        <f>'[1]Air Quality Monitoring'!H29</f>
        <v>0</v>
      </c>
      <c r="I16" s="271">
        <f>'[1]Air Quality Monitoring'!I29</f>
        <v>0</v>
      </c>
      <c r="J16" s="271">
        <f>'[1]Air Quality Monitoring'!J29</f>
        <v>0</v>
      </c>
      <c r="K16" s="271">
        <f>'[1]Air Quality Monitoring'!K29</f>
        <v>0</v>
      </c>
      <c r="L16" s="271">
        <f>'[1]Air Quality Monitoring'!N29</f>
        <v>0</v>
      </c>
      <c r="M16" s="272">
        <f>'[1]Air Quality Monitoring'!Q29</f>
        <v>0</v>
      </c>
      <c r="N16" s="818">
        <v>0</v>
      </c>
      <c r="O16" s="818">
        <v>0</v>
      </c>
      <c r="P16" s="254" t="e">
        <f t="shared" si="0"/>
        <v>#DIV/0!</v>
      </c>
      <c r="Q16" s="278"/>
      <c r="R16" s="243" t="str">
        <f t="shared" si="1"/>
        <v>Negative Change</v>
      </c>
    </row>
    <row r="17" spans="1:18" s="244" customFormat="1" ht="79.150000000000006" hidden="1">
      <c r="A17" s="3437"/>
      <c r="B17" s="3440"/>
      <c r="C17" s="273" t="s">
        <v>44</v>
      </c>
      <c r="D17" s="245">
        <v>2020</v>
      </c>
      <c r="E17" s="246" t="s">
        <v>22</v>
      </c>
      <c r="F17" s="247" t="s">
        <v>23</v>
      </c>
      <c r="G17" s="247" t="s">
        <v>23</v>
      </c>
      <c r="H17" s="245" t="s">
        <v>24</v>
      </c>
      <c r="I17" s="245" t="s">
        <v>24</v>
      </c>
      <c r="J17" s="245" t="s">
        <v>24</v>
      </c>
      <c r="K17" s="245" t="s">
        <v>24</v>
      </c>
      <c r="L17" s="245" t="s">
        <v>24</v>
      </c>
      <c r="M17" s="248" t="s">
        <v>45</v>
      </c>
      <c r="N17" s="248"/>
      <c r="O17" s="248"/>
      <c r="P17" s="274" t="s">
        <v>24</v>
      </c>
      <c r="Q17" s="249"/>
      <c r="R17" s="243"/>
    </row>
    <row r="18" spans="1:18" s="244" customFormat="1" ht="79.150000000000006" hidden="1">
      <c r="A18" s="3437"/>
      <c r="B18" s="3440"/>
      <c r="C18" s="273" t="s">
        <v>46</v>
      </c>
      <c r="D18" s="245">
        <v>2021</v>
      </c>
      <c r="E18" s="246" t="s">
        <v>22</v>
      </c>
      <c r="F18" s="247" t="s">
        <v>23</v>
      </c>
      <c r="G18" s="247" t="s">
        <v>23</v>
      </c>
      <c r="H18" s="245" t="s">
        <v>24</v>
      </c>
      <c r="I18" s="245" t="s">
        <v>24</v>
      </c>
      <c r="J18" s="245" t="s">
        <v>24</v>
      </c>
      <c r="K18" s="245" t="s">
        <v>24</v>
      </c>
      <c r="L18" s="245" t="s">
        <v>24</v>
      </c>
      <c r="M18" s="248" t="s">
        <v>45</v>
      </c>
      <c r="N18" s="248"/>
      <c r="O18" s="248"/>
      <c r="P18" s="274" t="s">
        <v>24</v>
      </c>
      <c r="Q18" s="249"/>
      <c r="R18" s="243"/>
    </row>
    <row r="19" spans="1:18" s="244" customFormat="1" ht="29.45">
      <c r="A19" s="3437"/>
      <c r="B19" s="3440"/>
      <c r="C19" s="3441" t="s">
        <v>47</v>
      </c>
      <c r="D19" s="3443">
        <v>2021</v>
      </c>
      <c r="E19" s="251" t="s">
        <v>48</v>
      </c>
      <c r="F19" s="247" t="s">
        <v>23</v>
      </c>
      <c r="G19" s="247" t="s">
        <v>29</v>
      </c>
      <c r="H19" s="275">
        <f>'[1]Waste Performance'!AL10</f>
        <v>6141.92</v>
      </c>
      <c r="I19" s="275">
        <f>'[1]Waste Performance'!AM10</f>
        <v>7659.75</v>
      </c>
      <c r="J19" s="275">
        <f>'[1]Waste Performance'!AN10</f>
        <v>6945</v>
      </c>
      <c r="K19" s="275">
        <f>'[1]Waste Performance'!AO10</f>
        <v>8194.84</v>
      </c>
      <c r="L19" s="275">
        <f>'[1]Waste Performance'!AR10</f>
        <v>6522</v>
      </c>
      <c r="M19" s="276">
        <v>1630</v>
      </c>
      <c r="N19" s="819">
        <v>2070</v>
      </c>
      <c r="O19" s="819">
        <v>4112</v>
      </c>
      <c r="P19" s="254">
        <f t="shared" ref="P19:P22" si="2">(O19-N19)/N19</f>
        <v>0.98647342995169085</v>
      </c>
      <c r="Q19" s="278"/>
      <c r="R19" s="243"/>
    </row>
    <row r="20" spans="1:18" s="244" customFormat="1" ht="29.45">
      <c r="A20" s="3437"/>
      <c r="B20" s="3440"/>
      <c r="C20" s="3441"/>
      <c r="D20" s="3443"/>
      <c r="E20" s="251" t="s">
        <v>156</v>
      </c>
      <c r="F20" s="247" t="s">
        <v>23</v>
      </c>
      <c r="G20" s="247" t="s">
        <v>29</v>
      </c>
      <c r="H20" s="275" t="s">
        <v>50</v>
      </c>
      <c r="I20" s="275" t="s">
        <v>50</v>
      </c>
      <c r="J20" s="275" t="s">
        <v>50</v>
      </c>
      <c r="K20" s="477">
        <f>SUM(K19/([1]Emissions!Y16))</f>
        <v>0.26526435199766463</v>
      </c>
      <c r="L20" s="477">
        <f>SUM(L19/([1]Emissions!X16))</f>
        <v>0.22178867293757534</v>
      </c>
      <c r="M20" s="477">
        <f>SUM(M19/([1]Emissions!W16))</f>
        <v>0.27444450243885188</v>
      </c>
      <c r="N20" s="820">
        <v>0.15</v>
      </c>
      <c r="O20" s="820">
        <v>0.15</v>
      </c>
      <c r="P20" s="254">
        <f t="shared" si="2"/>
        <v>0</v>
      </c>
      <c r="Q20" s="278"/>
      <c r="R20" s="243"/>
    </row>
    <row r="21" spans="1:18" s="244" customFormat="1" ht="29.45">
      <c r="A21" s="3437"/>
      <c r="B21" s="3440"/>
      <c r="C21" s="3441"/>
      <c r="D21" s="3443"/>
      <c r="E21" s="251" t="s">
        <v>51</v>
      </c>
      <c r="F21" s="247" t="s">
        <v>23</v>
      </c>
      <c r="G21" s="247" t="s">
        <v>29</v>
      </c>
      <c r="H21" s="280" t="s">
        <v>24</v>
      </c>
      <c r="I21" s="280" t="s">
        <v>24</v>
      </c>
      <c r="J21" s="280" t="s">
        <v>24</v>
      </c>
      <c r="K21" s="280" t="s">
        <v>24</v>
      </c>
      <c r="L21" s="280" t="s">
        <v>24</v>
      </c>
      <c r="M21" s="281">
        <f>'[1]Waste Performance'!AU34</f>
        <v>0.11245455053200348</v>
      </c>
      <c r="N21" s="815">
        <v>0.33</v>
      </c>
      <c r="O21" s="815">
        <v>0.79</v>
      </c>
      <c r="P21" s="254">
        <f t="shared" si="2"/>
        <v>1.393939393939394</v>
      </c>
      <c r="Q21" s="284"/>
      <c r="R21" s="243"/>
    </row>
    <row r="22" spans="1:18" s="244" customFormat="1" ht="29.45">
      <c r="A22" s="3437"/>
      <c r="B22" s="3440"/>
      <c r="C22" s="3441"/>
      <c r="D22" s="3443"/>
      <c r="E22" s="266" t="s">
        <v>52</v>
      </c>
      <c r="F22" s="247" t="s">
        <v>23</v>
      </c>
      <c r="G22" s="247" t="s">
        <v>29</v>
      </c>
      <c r="H22" s="282">
        <f>'[1]Waste Performance'!AL11</f>
        <v>0.98770742699351344</v>
      </c>
      <c r="I22" s="282">
        <f>'[1]Waste Performance'!AM11</f>
        <v>0.99422696563203761</v>
      </c>
      <c r="J22" s="282">
        <f>'[1]Waste Performance'!AN11</f>
        <v>1</v>
      </c>
      <c r="K22" s="282">
        <f>'[1]Waste Performance'!AO11</f>
        <v>1</v>
      </c>
      <c r="L22" s="282">
        <f>'[1]Waste Performance'!AR11</f>
        <v>1</v>
      </c>
      <c r="M22" s="283">
        <f>'[1]Waste Performance'!AU11</f>
        <v>1</v>
      </c>
      <c r="N22" s="721">
        <v>1</v>
      </c>
      <c r="O22" s="721">
        <v>1</v>
      </c>
      <c r="P22" s="254">
        <f t="shared" si="2"/>
        <v>0</v>
      </c>
      <c r="Q22" s="284"/>
      <c r="R22" s="243"/>
    </row>
    <row r="23" spans="1:18" s="244" customFormat="1" ht="39.6" hidden="1">
      <c r="A23" s="3437"/>
      <c r="B23" s="3440"/>
      <c r="C23" s="273" t="s">
        <v>53</v>
      </c>
      <c r="D23" s="245">
        <v>2021</v>
      </c>
      <c r="E23" s="246" t="s">
        <v>22</v>
      </c>
      <c r="F23" s="247" t="s">
        <v>23</v>
      </c>
      <c r="G23" s="247" t="s">
        <v>23</v>
      </c>
      <c r="H23" s="245" t="s">
        <v>24</v>
      </c>
      <c r="I23" s="245" t="s">
        <v>24</v>
      </c>
      <c r="J23" s="245" t="s">
        <v>24</v>
      </c>
      <c r="K23" s="245" t="s">
        <v>24</v>
      </c>
      <c r="L23" s="245" t="s">
        <v>24</v>
      </c>
      <c r="M23" s="248" t="s">
        <v>45</v>
      </c>
      <c r="N23" s="248"/>
      <c r="O23" s="248"/>
      <c r="P23" s="274" t="s">
        <v>24</v>
      </c>
      <c r="Q23" s="249"/>
      <c r="R23" s="243"/>
    </row>
    <row r="24" spans="1:18" s="244" customFormat="1" ht="39.6" hidden="1">
      <c r="A24" s="3437"/>
      <c r="B24" s="3440"/>
      <c r="C24" s="273" t="s">
        <v>54</v>
      </c>
      <c r="D24" s="245">
        <v>2021</v>
      </c>
      <c r="E24" s="246" t="s">
        <v>22</v>
      </c>
      <c r="F24" s="247" t="s">
        <v>23</v>
      </c>
      <c r="G24" s="247" t="s">
        <v>23</v>
      </c>
      <c r="H24" s="245" t="s">
        <v>24</v>
      </c>
      <c r="I24" s="245" t="s">
        <v>24</v>
      </c>
      <c r="J24" s="245" t="s">
        <v>24</v>
      </c>
      <c r="K24" s="245" t="s">
        <v>24</v>
      </c>
      <c r="L24" s="245" t="s">
        <v>24</v>
      </c>
      <c r="M24" s="248" t="s">
        <v>45</v>
      </c>
      <c r="N24" s="248"/>
      <c r="O24" s="248"/>
      <c r="P24" s="274" t="s">
        <v>24</v>
      </c>
      <c r="Q24" s="249"/>
      <c r="R24" s="243"/>
    </row>
    <row r="25" spans="1:18" s="244" customFormat="1" ht="59.45" hidden="1">
      <c r="A25" s="3437"/>
      <c r="B25" s="3440"/>
      <c r="C25" s="273" t="s">
        <v>55</v>
      </c>
      <c r="D25" s="245">
        <v>2021</v>
      </c>
      <c r="E25" s="246" t="s">
        <v>22</v>
      </c>
      <c r="F25" s="247" t="s">
        <v>23</v>
      </c>
      <c r="G25" s="247" t="s">
        <v>23</v>
      </c>
      <c r="H25" s="245" t="s">
        <v>24</v>
      </c>
      <c r="I25" s="245" t="s">
        <v>24</v>
      </c>
      <c r="J25" s="245" t="s">
        <v>24</v>
      </c>
      <c r="K25" s="245" t="s">
        <v>24</v>
      </c>
      <c r="L25" s="245" t="s">
        <v>24</v>
      </c>
      <c r="M25" s="248" t="s">
        <v>56</v>
      </c>
      <c r="N25" s="248"/>
      <c r="O25" s="248"/>
      <c r="P25" s="274">
        <v>1</v>
      </c>
      <c r="Q25" s="268"/>
      <c r="R25" s="243"/>
    </row>
    <row r="26" spans="1:18" s="244" customFormat="1" ht="59.45" hidden="1">
      <c r="A26" s="3437"/>
      <c r="B26" s="3440"/>
      <c r="C26" s="285" t="s">
        <v>57</v>
      </c>
      <c r="D26" s="245">
        <v>2021</v>
      </c>
      <c r="E26" s="246" t="s">
        <v>22</v>
      </c>
      <c r="F26" s="247" t="s">
        <v>23</v>
      </c>
      <c r="G26" s="247" t="s">
        <v>23</v>
      </c>
      <c r="H26" s="245" t="s">
        <v>24</v>
      </c>
      <c r="I26" s="245" t="s">
        <v>24</v>
      </c>
      <c r="J26" s="245" t="s">
        <v>24</v>
      </c>
      <c r="K26" s="245" t="s">
        <v>24</v>
      </c>
      <c r="L26" s="245" t="s">
        <v>24</v>
      </c>
      <c r="M26" s="248" t="s">
        <v>27</v>
      </c>
      <c r="N26" s="248"/>
      <c r="O26" s="248"/>
      <c r="P26" s="248" t="s">
        <v>24</v>
      </c>
      <c r="Q26" s="249"/>
      <c r="R26" s="243"/>
    </row>
    <row r="27" spans="1:18" s="244" customFormat="1" ht="29.45" hidden="1">
      <c r="A27" s="3437"/>
      <c r="B27" s="3440"/>
      <c r="C27" s="3445" t="s">
        <v>58</v>
      </c>
      <c r="D27" s="245">
        <v>2021</v>
      </c>
      <c r="E27" s="246" t="s">
        <v>22</v>
      </c>
      <c r="F27" s="247" t="s">
        <v>23</v>
      </c>
      <c r="G27" s="247" t="s">
        <v>23</v>
      </c>
      <c r="H27" s="245" t="s">
        <v>24</v>
      </c>
      <c r="I27" s="245" t="s">
        <v>24</v>
      </c>
      <c r="J27" s="245" t="s">
        <v>24</v>
      </c>
      <c r="K27" s="245" t="s">
        <v>24</v>
      </c>
      <c r="L27" s="245" t="s">
        <v>24</v>
      </c>
      <c r="M27" s="248" t="s">
        <v>27</v>
      </c>
      <c r="N27" s="248"/>
      <c r="O27" s="248"/>
      <c r="P27" s="248" t="s">
        <v>24</v>
      </c>
      <c r="Q27" s="249"/>
      <c r="R27" s="243"/>
    </row>
    <row r="28" spans="1:18" s="244" customFormat="1" ht="29.45">
      <c r="A28" s="3437"/>
      <c r="B28" s="3440"/>
      <c r="C28" s="3446"/>
      <c r="D28" s="245"/>
      <c r="E28" s="286" t="s">
        <v>59</v>
      </c>
      <c r="F28" s="247" t="s">
        <v>29</v>
      </c>
      <c r="G28" s="247" t="s">
        <v>29</v>
      </c>
      <c r="H28" s="245" t="s">
        <v>24</v>
      </c>
      <c r="I28" s="245" t="s">
        <v>24</v>
      </c>
      <c r="J28" s="245" t="s">
        <v>24</v>
      </c>
      <c r="K28" s="287" t="e">
        <f>'[1]Surface Access'!$G$22</f>
        <v>#REF!</v>
      </c>
      <c r="L28" s="287">
        <v>0.51500000000000001</v>
      </c>
      <c r="M28" s="277">
        <v>0.51800000000000002</v>
      </c>
      <c r="N28" s="821">
        <v>0.47</v>
      </c>
      <c r="O28" s="821">
        <v>0.46300000000000002</v>
      </c>
      <c r="P28" s="254">
        <f t="shared" ref="P28:P30" si="3">(O28-N28)/N28</f>
        <v>-1.4893617021276492E-2</v>
      </c>
      <c r="Q28" s="262"/>
      <c r="R28" s="243"/>
    </row>
    <row r="29" spans="1:18" s="244" customFormat="1" ht="29.45">
      <c r="A29" s="3437"/>
      <c r="B29" s="3440"/>
      <c r="C29" s="3447"/>
      <c r="D29" s="245"/>
      <c r="E29" s="286" t="s">
        <v>60</v>
      </c>
      <c r="F29" s="247" t="s">
        <v>29</v>
      </c>
      <c r="G29" s="247" t="s">
        <v>29</v>
      </c>
      <c r="H29" s="245" t="s">
        <v>24</v>
      </c>
      <c r="I29" s="245" t="s">
        <v>24</v>
      </c>
      <c r="J29" s="245" t="s">
        <v>24</v>
      </c>
      <c r="K29" s="288">
        <f>'[1]Surface Access'!$G$10</f>
        <v>0</v>
      </c>
      <c r="L29" s="288">
        <f>'[1]Surface Access'!$L$10</f>
        <v>0</v>
      </c>
      <c r="M29" s="289">
        <f>'[1]Surface Access'!$Q$10</f>
        <v>0</v>
      </c>
      <c r="N29" s="822">
        <v>196209</v>
      </c>
      <c r="O29" s="822">
        <v>196209</v>
      </c>
      <c r="P29" s="254">
        <f t="shared" si="3"/>
        <v>0</v>
      </c>
      <c r="Q29" s="268"/>
      <c r="R29" s="243"/>
    </row>
    <row r="30" spans="1:18" s="244" customFormat="1" ht="29.45">
      <c r="A30" s="3437"/>
      <c r="B30" s="3440"/>
      <c r="C30" s="3447"/>
      <c r="D30" s="245"/>
      <c r="E30" s="290" t="s">
        <v>61</v>
      </c>
      <c r="F30" s="247" t="s">
        <v>29</v>
      </c>
      <c r="G30" s="247" t="s">
        <v>29</v>
      </c>
      <c r="H30" s="245" t="s">
        <v>24</v>
      </c>
      <c r="I30" s="245" t="s">
        <v>24</v>
      </c>
      <c r="J30" s="245" t="s">
        <v>24</v>
      </c>
      <c r="K30" s="291">
        <f>'[1]Surface Access'!$G$23</f>
        <v>0.5343</v>
      </c>
      <c r="L30" s="291">
        <f>'[1]Surface Access'!$L$23</f>
        <v>0.62978104370983357</v>
      </c>
      <c r="M30" s="292">
        <f>'[1]Surface Access'!$Q$23</f>
        <v>0.62969537590808811</v>
      </c>
      <c r="N30" s="499"/>
      <c r="O30" s="499">
        <f>(O29/'G4-AO1, 2, 3 - PAX, ATM, Cargo'!H7)*100</f>
        <v>0.76906343188809345</v>
      </c>
      <c r="P30" s="254" t="e">
        <f t="shared" si="3"/>
        <v>#DIV/0!</v>
      </c>
      <c r="Q30" s="268"/>
      <c r="R30" s="243"/>
    </row>
    <row r="31" spans="1:18" s="244" customFormat="1" ht="29.45" hidden="1">
      <c r="A31" s="3437"/>
      <c r="B31" s="3440"/>
      <c r="C31" s="273" t="s">
        <v>62</v>
      </c>
      <c r="D31" s="245">
        <v>2023</v>
      </c>
      <c r="E31" s="246" t="s">
        <v>22</v>
      </c>
      <c r="F31" s="247" t="s">
        <v>23</v>
      </c>
      <c r="G31" s="247" t="s">
        <v>23</v>
      </c>
      <c r="H31" s="248" t="s">
        <v>24</v>
      </c>
      <c r="I31" s="248" t="s">
        <v>24</v>
      </c>
      <c r="J31" s="248" t="s">
        <v>24</v>
      </c>
      <c r="K31" s="248" t="s">
        <v>24</v>
      </c>
      <c r="L31" s="248" t="s">
        <v>24</v>
      </c>
      <c r="M31" s="248" t="s">
        <v>27</v>
      </c>
      <c r="N31" s="248"/>
      <c r="O31" s="248"/>
      <c r="P31" s="248" t="s">
        <v>24</v>
      </c>
      <c r="Q31" s="249"/>
      <c r="R31" s="243"/>
    </row>
    <row r="32" spans="1:18" s="244" customFormat="1" ht="59.45" hidden="1">
      <c r="A32" s="3437"/>
      <c r="B32" s="3440"/>
      <c r="C32" s="273" t="s">
        <v>63</v>
      </c>
      <c r="D32" s="245">
        <v>2024</v>
      </c>
      <c r="E32" s="246" t="s">
        <v>22</v>
      </c>
      <c r="F32" s="247" t="s">
        <v>23</v>
      </c>
      <c r="G32" s="247" t="s">
        <v>23</v>
      </c>
      <c r="H32" s="245" t="s">
        <v>24</v>
      </c>
      <c r="I32" s="245" t="s">
        <v>24</v>
      </c>
      <c r="J32" s="245" t="s">
        <v>24</v>
      </c>
      <c r="K32" s="245" t="s">
        <v>24</v>
      </c>
      <c r="L32" s="245" t="s">
        <v>24</v>
      </c>
      <c r="M32" s="248" t="s">
        <v>27</v>
      </c>
      <c r="N32" s="248"/>
      <c r="O32" s="248"/>
      <c r="P32" s="248" t="s">
        <v>24</v>
      </c>
      <c r="Q32" s="249"/>
      <c r="R32" s="243"/>
    </row>
    <row r="33" spans="1:18" s="244" customFormat="1" ht="39.6" hidden="1">
      <c r="A33" s="3437"/>
      <c r="B33" s="3440"/>
      <c r="C33" s="273" t="s">
        <v>64</v>
      </c>
      <c r="D33" s="245">
        <v>2025</v>
      </c>
      <c r="E33" s="246" t="s">
        <v>22</v>
      </c>
      <c r="F33" s="247" t="s">
        <v>23</v>
      </c>
      <c r="G33" s="247" t="s">
        <v>23</v>
      </c>
      <c r="H33" s="245" t="s">
        <v>24</v>
      </c>
      <c r="I33" s="245" t="s">
        <v>24</v>
      </c>
      <c r="J33" s="245" t="s">
        <v>24</v>
      </c>
      <c r="K33" s="245" t="s">
        <v>24</v>
      </c>
      <c r="L33" s="245" t="s">
        <v>24</v>
      </c>
      <c r="M33" s="248" t="s">
        <v>27</v>
      </c>
      <c r="N33" s="248"/>
      <c r="O33" s="248"/>
      <c r="P33" s="248" t="s">
        <v>24</v>
      </c>
      <c r="Q33" s="249"/>
      <c r="R33" s="243"/>
    </row>
    <row r="34" spans="1:18" s="244" customFormat="1" ht="39.6" hidden="1">
      <c r="A34" s="3437"/>
      <c r="B34" s="3440"/>
      <c r="C34" s="273" t="s">
        <v>65</v>
      </c>
      <c r="D34" s="245">
        <v>2025</v>
      </c>
      <c r="E34" s="246" t="s">
        <v>22</v>
      </c>
      <c r="F34" s="247" t="s">
        <v>23</v>
      </c>
      <c r="G34" s="247" t="s">
        <v>23</v>
      </c>
      <c r="H34" s="245" t="s">
        <v>24</v>
      </c>
      <c r="I34" s="245" t="s">
        <v>24</v>
      </c>
      <c r="J34" s="245" t="s">
        <v>24</v>
      </c>
      <c r="K34" s="245" t="s">
        <v>24</v>
      </c>
      <c r="L34" s="245" t="s">
        <v>24</v>
      </c>
      <c r="M34" s="248" t="s">
        <v>27</v>
      </c>
      <c r="N34" s="248"/>
      <c r="O34" s="248"/>
      <c r="P34" s="248" t="s">
        <v>24</v>
      </c>
      <c r="Q34" s="249"/>
      <c r="R34" s="243"/>
    </row>
    <row r="35" spans="1:18" s="244" customFormat="1" ht="59.45" hidden="1">
      <c r="A35" s="3437"/>
      <c r="B35" s="3440"/>
      <c r="C35" s="273" t="s">
        <v>66</v>
      </c>
      <c r="D35" s="245">
        <v>2025</v>
      </c>
      <c r="E35" s="246" t="s">
        <v>22</v>
      </c>
      <c r="F35" s="247" t="s">
        <v>23</v>
      </c>
      <c r="G35" s="247" t="s">
        <v>23</v>
      </c>
      <c r="H35" s="245" t="s">
        <v>24</v>
      </c>
      <c r="I35" s="245" t="s">
        <v>24</v>
      </c>
      <c r="J35" s="245" t="s">
        <v>24</v>
      </c>
      <c r="K35" s="245" t="s">
        <v>24</v>
      </c>
      <c r="L35" s="245" t="s">
        <v>24</v>
      </c>
      <c r="M35" s="248" t="s">
        <v>27</v>
      </c>
      <c r="N35" s="248"/>
      <c r="O35" s="248"/>
      <c r="P35" s="248" t="s">
        <v>24</v>
      </c>
      <c r="Q35" s="249"/>
      <c r="R35" s="243"/>
    </row>
    <row r="36" spans="1:18" s="244" customFormat="1" ht="29.45" hidden="1">
      <c r="A36" s="3437"/>
      <c r="B36" s="3440"/>
      <c r="C36" s="3445" t="s">
        <v>67</v>
      </c>
      <c r="D36" s="245">
        <v>2030</v>
      </c>
      <c r="E36" s="246" t="s">
        <v>22</v>
      </c>
      <c r="F36" s="247" t="s">
        <v>23</v>
      </c>
      <c r="G36" s="247" t="s">
        <v>23</v>
      </c>
      <c r="H36" s="245" t="s">
        <v>24</v>
      </c>
      <c r="I36" s="245" t="s">
        <v>24</v>
      </c>
      <c r="J36" s="245" t="s">
        <v>24</v>
      </c>
      <c r="K36" s="245" t="s">
        <v>24</v>
      </c>
      <c r="L36" s="245" t="s">
        <v>24</v>
      </c>
      <c r="M36" s="248" t="s">
        <v>27</v>
      </c>
      <c r="N36" s="248"/>
      <c r="O36" s="248"/>
      <c r="P36" s="248" t="s">
        <v>24</v>
      </c>
      <c r="Q36" s="249"/>
      <c r="R36" s="243"/>
    </row>
    <row r="37" spans="1:18" s="244" customFormat="1" ht="29.45" hidden="1">
      <c r="A37" s="3437"/>
      <c r="B37" s="3440"/>
      <c r="C37" s="3446"/>
      <c r="D37" s="245"/>
      <c r="E37" s="286" t="s">
        <v>68</v>
      </c>
      <c r="F37" s="247" t="s">
        <v>29</v>
      </c>
      <c r="G37" s="247" t="s">
        <v>29</v>
      </c>
      <c r="H37" s="245" t="s">
        <v>24</v>
      </c>
      <c r="I37" s="245" t="s">
        <v>24</v>
      </c>
      <c r="J37" s="245" t="s">
        <v>24</v>
      </c>
      <c r="K37" s="291">
        <f>[1]Energy!$BQ$26</f>
        <v>80.725999999999999</v>
      </c>
      <c r="L37" s="291">
        <f>[1]Energy!$BP$26</f>
        <v>94.855879139417823</v>
      </c>
      <c r="M37" s="292">
        <f>[1]Energy!$BO$26</f>
        <v>73.553333442929059</v>
      </c>
      <c r="N37" s="292"/>
      <c r="O37" s="499"/>
      <c r="P37" s="254" t="e">
        <f>(O37-N37)/O37</f>
        <v>#DIV/0!</v>
      </c>
      <c r="Q37" s="268"/>
      <c r="R37" s="243"/>
    </row>
    <row r="38" spans="1:18" ht="59.45" hidden="1">
      <c r="A38" s="3448" t="s">
        <v>69</v>
      </c>
      <c r="B38" s="3450" t="s">
        <v>20</v>
      </c>
      <c r="C38" s="296" t="s">
        <v>70</v>
      </c>
      <c r="D38" s="297">
        <v>2020</v>
      </c>
      <c r="E38" s="298" t="s">
        <v>22</v>
      </c>
      <c r="F38" s="299" t="s">
        <v>23</v>
      </c>
      <c r="G38" s="299" t="s">
        <v>23</v>
      </c>
      <c r="H38" s="300" t="s">
        <v>24</v>
      </c>
      <c r="I38" s="300" t="s">
        <v>24</v>
      </c>
      <c r="J38" s="300" t="s">
        <v>24</v>
      </c>
      <c r="K38" s="300" t="s">
        <v>24</v>
      </c>
      <c r="L38" s="301" t="s">
        <v>24</v>
      </c>
      <c r="M38" s="302" t="s">
        <v>45</v>
      </c>
      <c r="N38" s="302"/>
      <c r="O38" s="302"/>
      <c r="P38" s="303" t="s">
        <v>24</v>
      </c>
      <c r="Q38" s="304"/>
    </row>
    <row r="39" spans="1:18" ht="29.45">
      <c r="A39" s="3449"/>
      <c r="B39" s="3451"/>
      <c r="C39" s="3452" t="s">
        <v>72</v>
      </c>
      <c r="D39" s="230"/>
      <c r="E39" s="305" t="s">
        <v>73</v>
      </c>
      <c r="F39" s="306" t="s">
        <v>23</v>
      </c>
      <c r="G39" s="307" t="s">
        <v>29</v>
      </c>
      <c r="H39" s="308">
        <f>'[1]H&amp;S and Sickness'!E17</f>
        <v>1</v>
      </c>
      <c r="I39" s="308" t="str">
        <f>'[1]H&amp;S and Sickness'!F17</f>
        <v>0 </v>
      </c>
      <c r="J39" s="308">
        <f>'[1]H&amp;S and Sickness'!G17</f>
        <v>1</v>
      </c>
      <c r="K39" s="308">
        <f>'[1]H&amp;S and Sickness'!H17</f>
        <v>3</v>
      </c>
      <c r="L39" s="309">
        <f>'[1]H&amp;S and Sickness'!K17</f>
        <v>3</v>
      </c>
      <c r="M39" s="310">
        <f>'[1]H&amp;S and Sickness'!N17</f>
        <v>0</v>
      </c>
      <c r="N39" s="376">
        <v>4</v>
      </c>
      <c r="O39" s="376">
        <v>0</v>
      </c>
      <c r="P39" s="254">
        <f t="shared" ref="P39:P41" si="4">(O39-N39)/N39</f>
        <v>-1</v>
      </c>
      <c r="Q39" s="312"/>
    </row>
    <row r="40" spans="1:18" ht="29.45">
      <c r="A40" s="3449"/>
      <c r="B40" s="3451"/>
      <c r="C40" s="3452"/>
      <c r="D40" s="230"/>
      <c r="E40" s="305" t="s">
        <v>74</v>
      </c>
      <c r="F40" s="306" t="s">
        <v>23</v>
      </c>
      <c r="G40" s="307" t="s">
        <v>29</v>
      </c>
      <c r="H40" s="308">
        <f>'[1]H&amp;S and Sickness'!E36</f>
        <v>17</v>
      </c>
      <c r="I40" s="308" t="str">
        <f>'[1]H&amp;S and Sickness'!F36</f>
        <v> 20</v>
      </c>
      <c r="J40" s="308">
        <f>'[1]H&amp;S and Sickness'!G36</f>
        <v>17</v>
      </c>
      <c r="K40" s="308">
        <f>'[1]H&amp;S and Sickness'!H18</f>
        <v>9</v>
      </c>
      <c r="L40" s="309">
        <f>'[1]H&amp;S and Sickness'!K18</f>
        <v>10</v>
      </c>
      <c r="M40" s="310">
        <f>'[1]H&amp;S and Sickness'!N18</f>
        <v>3</v>
      </c>
      <c r="N40" s="376">
        <v>12</v>
      </c>
      <c r="O40" s="376">
        <v>1</v>
      </c>
      <c r="P40" s="254">
        <f t="shared" si="4"/>
        <v>-0.91666666666666663</v>
      </c>
      <c r="Q40" s="312"/>
    </row>
    <row r="41" spans="1:18" ht="29.45">
      <c r="A41" s="3449"/>
      <c r="B41" s="3451"/>
      <c r="C41" s="3452"/>
      <c r="D41" s="230"/>
      <c r="E41" s="313" t="s">
        <v>75</v>
      </c>
      <c r="F41" s="306" t="s">
        <v>23</v>
      </c>
      <c r="G41" s="307" t="s">
        <v>29</v>
      </c>
      <c r="H41" s="314">
        <f>'[1]H&amp;S and Sickness'!E52</f>
        <v>4.07E-2</v>
      </c>
      <c r="I41" s="314">
        <f>'[1]H&amp;S and Sickness'!F52</f>
        <v>2.07E-2</v>
      </c>
      <c r="J41" s="314">
        <f>'[1]H&amp;S and Sickness'!G52</f>
        <v>3.32E-2</v>
      </c>
      <c r="K41" s="314"/>
      <c r="L41" s="315"/>
      <c r="M41" s="315"/>
      <c r="N41" s="500"/>
      <c r="O41" s="500"/>
      <c r="P41" s="254" t="e">
        <f t="shared" si="4"/>
        <v>#DIV/0!</v>
      </c>
      <c r="Q41" s="316"/>
    </row>
    <row r="42" spans="1:18" ht="39.6" hidden="1">
      <c r="A42" s="3449"/>
      <c r="B42" s="3451"/>
      <c r="C42" s="3452"/>
      <c r="D42" s="317">
        <v>2020</v>
      </c>
      <c r="E42" s="318" t="s">
        <v>77</v>
      </c>
      <c r="F42" s="306" t="s">
        <v>23</v>
      </c>
      <c r="G42" s="306" t="s">
        <v>23</v>
      </c>
      <c r="H42" s="308">
        <f>'[1]H&amp;S and Sickness'!E18</f>
        <v>2</v>
      </c>
      <c r="I42" s="308" t="str">
        <f>'[1]H&amp;S and Sickness'!F18</f>
        <v> 4</v>
      </c>
      <c r="J42" s="308">
        <f>'[1]H&amp;S and Sickness'!G18</f>
        <v>4</v>
      </c>
      <c r="K42" s="308">
        <f>'[1]H&amp;S and Sickness'!H18</f>
        <v>9</v>
      </c>
      <c r="L42" s="309">
        <f>'[1]H&amp;S and Sickness'!K18</f>
        <v>10</v>
      </c>
      <c r="M42" s="310">
        <f>'[1]H&amp;S and Sickness'!N18</f>
        <v>3</v>
      </c>
      <c r="N42" s="310"/>
      <c r="O42" s="310"/>
      <c r="P42" s="319">
        <v>1</v>
      </c>
      <c r="Q42" s="312"/>
    </row>
    <row r="43" spans="1:18" ht="29.45" hidden="1">
      <c r="A43" s="3449"/>
      <c r="B43" s="3451"/>
      <c r="C43" s="3453" t="s">
        <v>78</v>
      </c>
      <c r="D43" s="3455">
        <v>2025</v>
      </c>
      <c r="E43" s="321" t="s">
        <v>22</v>
      </c>
      <c r="F43" s="307" t="s">
        <v>23</v>
      </c>
      <c r="G43" s="307" t="s">
        <v>23</v>
      </c>
      <c r="H43" s="322" t="s">
        <v>24</v>
      </c>
      <c r="I43" s="322" t="s">
        <v>24</v>
      </c>
      <c r="J43" s="322" t="s">
        <v>24</v>
      </c>
      <c r="K43" s="322" t="s">
        <v>24</v>
      </c>
      <c r="L43" s="323" t="s">
        <v>24</v>
      </c>
      <c r="M43" s="310" t="s">
        <v>27</v>
      </c>
      <c r="N43" s="310"/>
      <c r="O43" s="310"/>
      <c r="P43" s="310" t="s">
        <v>24</v>
      </c>
      <c r="Q43" s="324"/>
    </row>
    <row r="44" spans="1:18" ht="29.45">
      <c r="A44" s="3449"/>
      <c r="B44" s="3451"/>
      <c r="C44" s="3454"/>
      <c r="D44" s="3456"/>
      <c r="E44" s="325" t="s">
        <v>79</v>
      </c>
      <c r="F44" s="307" t="s">
        <v>29</v>
      </c>
      <c r="G44" s="307" t="s">
        <v>29</v>
      </c>
      <c r="H44" s="322" t="s">
        <v>24</v>
      </c>
      <c r="I44" s="322" t="s">
        <v>24</v>
      </c>
      <c r="J44" s="322" t="s">
        <v>24</v>
      </c>
      <c r="K44" s="322" t="s">
        <v>24</v>
      </c>
      <c r="L44" s="315">
        <f>'[1]Employee Dev &amp; Engage'!J20</f>
        <v>0.63929999999999998</v>
      </c>
      <c r="M44" s="315">
        <f>'[1]Employee Dev &amp; Engage'!M20</f>
        <v>5.5599999999999997E-2</v>
      </c>
      <c r="N44" s="500">
        <v>1.4E-2</v>
      </c>
      <c r="O44" s="500">
        <v>0.45500000000000002</v>
      </c>
      <c r="P44" s="254">
        <f>(O44-N44)/N44</f>
        <v>31.5</v>
      </c>
      <c r="Q44" s="326"/>
    </row>
    <row r="45" spans="1:18" ht="29.45" hidden="1">
      <c r="A45" s="3449"/>
      <c r="B45" s="3451"/>
      <c r="C45" s="3453" t="s">
        <v>80</v>
      </c>
      <c r="D45" s="3455">
        <v>2020</v>
      </c>
      <c r="E45" s="327" t="s">
        <v>22</v>
      </c>
      <c r="F45" s="306" t="s">
        <v>23</v>
      </c>
      <c r="G45" s="306" t="s">
        <v>23</v>
      </c>
      <c r="H45" s="322" t="s">
        <v>24</v>
      </c>
      <c r="I45" s="322" t="s">
        <v>24</v>
      </c>
      <c r="J45" s="322" t="s">
        <v>24</v>
      </c>
      <c r="K45" s="322" t="s">
        <v>24</v>
      </c>
      <c r="L45" s="309" t="s">
        <v>24</v>
      </c>
      <c r="M45" s="310" t="s">
        <v>25</v>
      </c>
      <c r="N45" s="310"/>
      <c r="O45" s="310"/>
      <c r="P45" s="319">
        <v>1</v>
      </c>
      <c r="Q45" s="328"/>
    </row>
    <row r="46" spans="1:18" ht="79.150000000000006">
      <c r="A46" s="3449"/>
      <c r="B46" s="3451"/>
      <c r="C46" s="3457"/>
      <c r="D46" s="3459"/>
      <c r="E46" s="329" t="s">
        <v>81</v>
      </c>
      <c r="F46" s="307" t="s">
        <v>29</v>
      </c>
      <c r="G46" s="307" t="s">
        <v>29</v>
      </c>
      <c r="H46" s="330" t="s">
        <v>24</v>
      </c>
      <c r="I46" s="330" t="s">
        <v>24</v>
      </c>
      <c r="J46" s="330" t="s">
        <v>24</v>
      </c>
      <c r="K46" s="330">
        <f>'[1]Customer Health and Safety, All'!I40</f>
        <v>1</v>
      </c>
      <c r="L46" s="330">
        <f>'[1]Customer Health and Safety, All'!M40</f>
        <v>1</v>
      </c>
      <c r="M46" s="330">
        <f>'[1]Customer Health and Safety, All'!P40</f>
        <v>0.92162090109304184</v>
      </c>
      <c r="N46" s="375">
        <v>0.999</v>
      </c>
      <c r="O46" s="375">
        <v>0.99399999999999999</v>
      </c>
      <c r="P46" s="254">
        <f t="shared" ref="P46:P50" si="5">(O46-N46)/N46</f>
        <v>-5.0050050050050093E-3</v>
      </c>
      <c r="Q46" s="328"/>
    </row>
    <row r="47" spans="1:18" ht="79.150000000000006">
      <c r="A47" s="3449"/>
      <c r="B47" s="3451"/>
      <c r="C47" s="3457"/>
      <c r="D47" s="3459"/>
      <c r="E47" s="329" t="s">
        <v>82</v>
      </c>
      <c r="F47" s="307" t="s">
        <v>29</v>
      </c>
      <c r="G47" s="307" t="s">
        <v>29</v>
      </c>
      <c r="H47" s="330" t="s">
        <v>24</v>
      </c>
      <c r="I47" s="330" t="s">
        <v>24</v>
      </c>
      <c r="J47" s="330" t="s">
        <v>24</v>
      </c>
      <c r="K47" s="330">
        <f>'[1]Customer Health and Safety, All'!I43</f>
        <v>1</v>
      </c>
      <c r="L47" s="330">
        <f>'[1]Customer Health and Safety, All'!M43</f>
        <v>1</v>
      </c>
      <c r="M47" s="330">
        <f>'[1]Customer Health and Safety, All'!P43</f>
        <v>0.94149536932459899</v>
      </c>
      <c r="N47" s="375">
        <v>0.998</v>
      </c>
      <c r="O47" s="375">
        <v>0.92479999999999996</v>
      </c>
      <c r="P47" s="254">
        <f t="shared" si="5"/>
        <v>-7.334669338677359E-2</v>
      </c>
      <c r="Q47" s="328"/>
    </row>
    <row r="48" spans="1:18" ht="59.45">
      <c r="A48" s="3449"/>
      <c r="B48" s="3451"/>
      <c r="C48" s="3457"/>
      <c r="D48" s="3459"/>
      <c r="E48" s="329" t="s">
        <v>83</v>
      </c>
      <c r="F48" s="307" t="s">
        <v>29</v>
      </c>
      <c r="G48" s="307" t="s">
        <v>29</v>
      </c>
      <c r="H48" s="330" t="s">
        <v>24</v>
      </c>
      <c r="I48" s="330" t="s">
        <v>24</v>
      </c>
      <c r="J48" s="330" t="s">
        <v>24</v>
      </c>
      <c r="K48" s="330">
        <f>'[1]Customer Health and Safety, All'!I46</f>
        <v>0.97719999999999996</v>
      </c>
      <c r="L48" s="330">
        <f>'[1]Customer Health and Safety, All'!M46</f>
        <v>0.98660000000000003</v>
      </c>
      <c r="M48" s="330">
        <f>'[1]Customer Health and Safety, All'!P46</f>
        <v>0.97587333500879614</v>
      </c>
      <c r="N48" s="375">
        <v>0.97</v>
      </c>
      <c r="O48" s="375">
        <v>0.94699999999999995</v>
      </c>
      <c r="P48" s="254">
        <f t="shared" si="5"/>
        <v>-2.371134020618559E-2</v>
      </c>
      <c r="Q48" s="331"/>
    </row>
    <row r="49" spans="1:17" ht="59.45">
      <c r="A49" s="3449"/>
      <c r="B49" s="3451"/>
      <c r="C49" s="3457"/>
      <c r="D49" s="3459"/>
      <c r="E49" s="329" t="s">
        <v>84</v>
      </c>
      <c r="F49" s="307" t="s">
        <v>29</v>
      </c>
      <c r="G49" s="307" t="s">
        <v>29</v>
      </c>
      <c r="H49" s="330" t="s">
        <v>24</v>
      </c>
      <c r="I49" s="330" t="s">
        <v>24</v>
      </c>
      <c r="J49" s="330" t="s">
        <v>24</v>
      </c>
      <c r="K49" s="330">
        <f>'[1]Customer Health and Safety, All'!I49</f>
        <v>0.99760000000000004</v>
      </c>
      <c r="L49" s="330">
        <f>'[1]Customer Health and Safety, All'!M49</f>
        <v>0.99929999999999997</v>
      </c>
      <c r="M49" s="330">
        <f>'[1]Customer Health and Safety, All'!P49</f>
        <v>0.98230535894843285</v>
      </c>
      <c r="N49" s="375">
        <v>0.997</v>
      </c>
      <c r="O49" s="375">
        <v>0.997</v>
      </c>
      <c r="P49" s="254">
        <f t="shared" si="5"/>
        <v>0</v>
      </c>
      <c r="Q49" s="331"/>
    </row>
    <row r="50" spans="1:17" ht="39.6">
      <c r="A50" s="3449"/>
      <c r="B50" s="3451"/>
      <c r="C50" s="3458"/>
      <c r="D50" s="3459"/>
      <c r="E50" s="332" t="s">
        <v>85</v>
      </c>
      <c r="F50" s="307" t="s">
        <v>29</v>
      </c>
      <c r="G50" s="307" t="s">
        <v>29</v>
      </c>
      <c r="H50" s="330" t="s">
        <v>24</v>
      </c>
      <c r="I50" s="330" t="s">
        <v>24</v>
      </c>
      <c r="J50" s="330" t="s">
        <v>24</v>
      </c>
      <c r="K50" s="333">
        <f>'[1]Customer Health and Safety, All'!I52</f>
        <v>4.1100000000000003</v>
      </c>
      <c r="L50" s="333">
        <f>'[1]Customer Health and Safety, All'!M52</f>
        <v>3.67</v>
      </c>
      <c r="M50" s="483" t="str">
        <f>'[1]Customer Health and Safety, All'!P52</f>
        <v>n/a</v>
      </c>
      <c r="N50" s="501"/>
      <c r="O50" s="501"/>
      <c r="P50" s="254" t="e">
        <f t="shared" si="5"/>
        <v>#DIV/0!</v>
      </c>
      <c r="Q50" s="485" t="s">
        <v>86</v>
      </c>
    </row>
    <row r="51" spans="1:17" ht="39.6" hidden="1">
      <c r="A51" s="3449"/>
      <c r="B51" s="3451"/>
      <c r="C51" s="335" t="s">
        <v>87</v>
      </c>
      <c r="D51" s="317">
        <v>2020</v>
      </c>
      <c r="E51" s="327" t="s">
        <v>22</v>
      </c>
      <c r="F51" s="306" t="s">
        <v>23</v>
      </c>
      <c r="G51" s="306" t="s">
        <v>23</v>
      </c>
      <c r="H51" s="308" t="s">
        <v>24</v>
      </c>
      <c r="I51" s="308" t="s">
        <v>24</v>
      </c>
      <c r="J51" s="308" t="s">
        <v>24</v>
      </c>
      <c r="K51" s="308" t="s">
        <v>24</v>
      </c>
      <c r="L51" s="309" t="s">
        <v>24</v>
      </c>
      <c r="M51" s="310" t="s">
        <v>45</v>
      </c>
      <c r="N51" s="310"/>
      <c r="O51" s="310"/>
      <c r="P51" s="336" t="s">
        <v>24</v>
      </c>
      <c r="Q51" s="324"/>
    </row>
    <row r="52" spans="1:17" ht="59.45" hidden="1">
      <c r="A52" s="3449"/>
      <c r="B52" s="3451"/>
      <c r="C52" s="335" t="s">
        <v>88</v>
      </c>
      <c r="D52" s="337">
        <v>2025</v>
      </c>
      <c r="E52" s="338" t="s">
        <v>22</v>
      </c>
      <c r="F52" s="339" t="s">
        <v>23</v>
      </c>
      <c r="G52" s="339" t="s">
        <v>23</v>
      </c>
      <c r="H52" s="340" t="s">
        <v>24</v>
      </c>
      <c r="I52" s="340" t="s">
        <v>24</v>
      </c>
      <c r="J52" s="340" t="s">
        <v>24</v>
      </c>
      <c r="K52" s="340" t="s">
        <v>24</v>
      </c>
      <c r="L52" s="340" t="s">
        <v>24</v>
      </c>
      <c r="M52" s="310" t="s">
        <v>27</v>
      </c>
      <c r="N52" s="310"/>
      <c r="O52" s="310"/>
      <c r="P52" s="310" t="s">
        <v>24</v>
      </c>
      <c r="Q52" s="324"/>
    </row>
    <row r="53" spans="1:17" ht="39.6" hidden="1">
      <c r="A53" s="3449"/>
      <c r="B53" s="3451"/>
      <c r="C53" s="335" t="s">
        <v>89</v>
      </c>
      <c r="D53" s="337">
        <v>2020</v>
      </c>
      <c r="E53" s="338" t="s">
        <v>22</v>
      </c>
      <c r="F53" s="339" t="s">
        <v>23</v>
      </c>
      <c r="G53" s="339" t="s">
        <v>23</v>
      </c>
      <c r="H53" s="340" t="s">
        <v>24</v>
      </c>
      <c r="I53" s="340" t="s">
        <v>24</v>
      </c>
      <c r="J53" s="340" t="s">
        <v>24</v>
      </c>
      <c r="K53" s="340" t="s">
        <v>24</v>
      </c>
      <c r="L53" s="341" t="s">
        <v>24</v>
      </c>
      <c r="M53" s="310" t="s">
        <v>25</v>
      </c>
      <c r="N53" s="310"/>
      <c r="O53" s="310"/>
      <c r="P53" s="336">
        <v>1</v>
      </c>
      <c r="Q53" s="328"/>
    </row>
    <row r="54" spans="1:17" ht="59.45">
      <c r="A54" s="3449"/>
      <c r="B54" s="3451"/>
      <c r="C54" s="342" t="s">
        <v>90</v>
      </c>
      <c r="D54" s="337">
        <v>2025</v>
      </c>
      <c r="E54" s="343" t="s">
        <v>91</v>
      </c>
      <c r="F54" s="339" t="s">
        <v>29</v>
      </c>
      <c r="G54" s="339" t="s">
        <v>29</v>
      </c>
      <c r="H54" s="344">
        <f>'[1]Work Placement, Apprentices and'!F18</f>
        <v>4737</v>
      </c>
      <c r="I54" s="344">
        <f>'[1]Work Placement, Apprentices and'!G18</f>
        <v>6598</v>
      </c>
      <c r="J54" s="344">
        <f>'[1]Work Placement, Apprentices and'!H18</f>
        <v>11542</v>
      </c>
      <c r="K54" s="344">
        <f>'[1]Work Placement, Apprentices and'!I18</f>
        <v>13391</v>
      </c>
      <c r="L54" s="344">
        <f>'[1]Work Placement, Apprentices and'!J18</f>
        <v>9324</v>
      </c>
      <c r="M54" s="345">
        <f>'[1]Work Placement, Apprentices and'!K18</f>
        <v>85</v>
      </c>
      <c r="N54" s="826">
        <v>2648</v>
      </c>
      <c r="O54" s="826">
        <v>7684</v>
      </c>
      <c r="P54" s="254">
        <f>(O54-N54)/N54</f>
        <v>1.9018126888217524</v>
      </c>
      <c r="Q54" s="346"/>
    </row>
    <row r="55" spans="1:17" ht="29.45" hidden="1">
      <c r="A55" s="3449"/>
      <c r="B55" s="3451"/>
      <c r="C55" s="3453" t="s">
        <v>92</v>
      </c>
      <c r="D55" s="3455">
        <v>2025</v>
      </c>
      <c r="E55" s="327" t="s">
        <v>22</v>
      </c>
      <c r="F55" s="307" t="s">
        <v>23</v>
      </c>
      <c r="G55" s="307" t="s">
        <v>23</v>
      </c>
      <c r="H55" s="322" t="s">
        <v>24</v>
      </c>
      <c r="I55" s="322" t="s">
        <v>24</v>
      </c>
      <c r="J55" s="322" t="s">
        <v>24</v>
      </c>
      <c r="K55" s="322" t="s">
        <v>24</v>
      </c>
      <c r="L55" s="322" t="s">
        <v>24</v>
      </c>
      <c r="M55" s="310" t="s">
        <v>27</v>
      </c>
      <c r="N55" s="310"/>
      <c r="O55" s="310"/>
      <c r="P55" s="311" t="s">
        <v>24</v>
      </c>
      <c r="Q55" s="347"/>
    </row>
    <row r="56" spans="1:17" ht="39.6">
      <c r="A56" s="3449"/>
      <c r="B56" s="3451"/>
      <c r="C56" s="3460"/>
      <c r="D56" s="3456"/>
      <c r="E56" s="343" t="s">
        <v>93</v>
      </c>
      <c r="F56" s="307" t="s">
        <v>29</v>
      </c>
      <c r="G56" s="339" t="s">
        <v>29</v>
      </c>
      <c r="H56" s="348" t="s">
        <v>24</v>
      </c>
      <c r="I56" s="348" t="s">
        <v>24</v>
      </c>
      <c r="J56" s="348" t="s">
        <v>24</v>
      </c>
      <c r="K56" s="348" t="s">
        <v>24</v>
      </c>
      <c r="L56" s="348" t="s">
        <v>24</v>
      </c>
      <c r="M56" s="349">
        <f>'[1]Airport Academies&amp;aerozones T&amp;D'!$M$48</f>
        <v>0.77302631578947367</v>
      </c>
      <c r="N56" s="827">
        <v>0.57499999999999996</v>
      </c>
      <c r="O56" s="827">
        <v>0.47</v>
      </c>
      <c r="P56" s="254">
        <f>(O56-N56)/N56</f>
        <v>-0.18260869565217389</v>
      </c>
      <c r="Q56" s="331"/>
    </row>
    <row r="57" spans="1:17" ht="59.45" hidden="1">
      <c r="A57" s="3449"/>
      <c r="B57" s="3451"/>
      <c r="C57" s="320" t="s">
        <v>94</v>
      </c>
      <c r="D57" s="317">
        <v>2025</v>
      </c>
      <c r="E57" s="327" t="s">
        <v>22</v>
      </c>
      <c r="F57" s="307" t="s">
        <v>23</v>
      </c>
      <c r="G57" s="307" t="s">
        <v>23</v>
      </c>
      <c r="H57" s="322" t="s">
        <v>24</v>
      </c>
      <c r="I57" s="322" t="s">
        <v>24</v>
      </c>
      <c r="J57" s="322" t="s">
        <v>24</v>
      </c>
      <c r="K57" s="322" t="s">
        <v>24</v>
      </c>
      <c r="L57" s="322" t="s">
        <v>24</v>
      </c>
      <c r="M57" s="310" t="s">
        <v>27</v>
      </c>
      <c r="N57" s="310"/>
      <c r="O57" s="310"/>
      <c r="P57" s="311" t="s">
        <v>24</v>
      </c>
      <c r="Q57" s="324"/>
    </row>
    <row r="58" spans="1:17" ht="29.45">
      <c r="A58" s="3449"/>
      <c r="B58" s="3451"/>
      <c r="C58" s="3461" t="s">
        <v>95</v>
      </c>
      <c r="D58" s="3463">
        <v>2025</v>
      </c>
      <c r="E58" s="318" t="s">
        <v>96</v>
      </c>
      <c r="F58" s="307" t="s">
        <v>29</v>
      </c>
      <c r="G58" s="307" t="s">
        <v>29</v>
      </c>
      <c r="H58" s="353">
        <f>'[1]Airport Academies&amp;aerozones T&amp;D'!D23</f>
        <v>243</v>
      </c>
      <c r="I58" s="353">
        <f>'[1]Airport Academies&amp;aerozones T&amp;D'!E23</f>
        <v>155</v>
      </c>
      <c r="J58" s="353">
        <f>'[1]Airport Academies&amp;aerozones T&amp;D'!F23</f>
        <v>135</v>
      </c>
      <c r="K58" s="353">
        <f>'[1]Airport Academies&amp;aerozones T&amp;D'!G23</f>
        <v>239</v>
      </c>
      <c r="L58" s="353">
        <f>'[1]Airport Academies&amp;aerozones T&amp;D'!J23</f>
        <v>307</v>
      </c>
      <c r="M58" s="345">
        <v>500</v>
      </c>
      <c r="N58" s="826">
        <v>5534</v>
      </c>
      <c r="O58" s="826">
        <v>8679</v>
      </c>
      <c r="P58" s="254">
        <f t="shared" ref="P58:P61" si="6">(O58-N58)/N58</f>
        <v>0.56830502349114564</v>
      </c>
      <c r="Q58" s="352"/>
    </row>
    <row r="59" spans="1:17" ht="29.45">
      <c r="A59" s="3449"/>
      <c r="B59" s="3451"/>
      <c r="C59" s="3462"/>
      <c r="D59" s="3464"/>
      <c r="E59" s="305" t="s">
        <v>97</v>
      </c>
      <c r="F59" s="307" t="s">
        <v>29</v>
      </c>
      <c r="G59" s="307" t="s">
        <v>29</v>
      </c>
      <c r="H59" s="322" t="str">
        <f>'[1]Airport Academies&amp;aerozones T&amp;D'!C28</f>
        <v>NA</v>
      </c>
      <c r="I59" s="322" t="str">
        <f>'[1]Airport Academies&amp;aerozones T&amp;D'!D28</f>
        <v>NA</v>
      </c>
      <c r="J59" s="322" t="str">
        <f>'[1]Airport Academies&amp;aerozones T&amp;D'!E28</f>
        <v>NA</v>
      </c>
      <c r="K59" s="322" t="str">
        <f>'[1]Airport Academies&amp;aerozones T&amp;D'!G28</f>
        <v>NA</v>
      </c>
      <c r="L59" s="322" t="str">
        <f>'[1]Airport Academies&amp;aerozones T&amp;D'!J28</f>
        <v>NA</v>
      </c>
      <c r="M59" s="315">
        <v>0.27100000000000002</v>
      </c>
      <c r="N59" s="500">
        <v>0.98399999999999999</v>
      </c>
      <c r="O59" s="500">
        <v>0.45200000000000001</v>
      </c>
      <c r="P59" s="254">
        <f t="shared" si="6"/>
        <v>-0.54065040650406504</v>
      </c>
      <c r="Q59" s="352"/>
    </row>
    <row r="60" spans="1:17" ht="39.6">
      <c r="A60" s="3449"/>
      <c r="B60" s="3451"/>
      <c r="C60" s="3462"/>
      <c r="D60" s="3464"/>
      <c r="E60" s="305" t="s">
        <v>98</v>
      </c>
      <c r="F60" s="307" t="s">
        <v>23</v>
      </c>
      <c r="G60" s="307" t="s">
        <v>29</v>
      </c>
      <c r="H60" s="353">
        <f>'[1]Airport Academies&amp;aerozones T&amp;D'!D31</f>
        <v>333</v>
      </c>
      <c r="I60" s="353">
        <f>'[1]Airport Academies&amp;aerozones T&amp;D'!E31</f>
        <v>713</v>
      </c>
      <c r="J60" s="353">
        <f>'[1]Airport Academies&amp;aerozones T&amp;D'!F31</f>
        <v>518</v>
      </c>
      <c r="K60" s="353">
        <f>'[1]Airport Academies&amp;aerozones T&amp;D'!G26</f>
        <v>964</v>
      </c>
      <c r="L60" s="353">
        <v>307</v>
      </c>
      <c r="M60" s="354">
        <v>81</v>
      </c>
      <c r="N60" s="828">
        <v>9</v>
      </c>
      <c r="O60" s="828">
        <v>94</v>
      </c>
      <c r="P60" s="254">
        <f t="shared" si="6"/>
        <v>9.4444444444444446</v>
      </c>
      <c r="Q60" s="352"/>
    </row>
    <row r="61" spans="1:17" ht="39.6">
      <c r="A61" s="3449"/>
      <c r="B61" s="3451"/>
      <c r="C61" s="3462"/>
      <c r="D61" s="3464"/>
      <c r="E61" s="356" t="s">
        <v>99</v>
      </c>
      <c r="F61" s="307" t="s">
        <v>23</v>
      </c>
      <c r="G61" s="307" t="s">
        <v>29</v>
      </c>
      <c r="H61" s="315">
        <f>'[1]Airport Academies&amp;aerozones T&amp;D'!D25</f>
        <v>0.26748971193415638</v>
      </c>
      <c r="I61" s="315">
        <f>'[1]Airport Academies&amp;aerozones T&amp;D'!E25</f>
        <v>0.54838709677419351</v>
      </c>
      <c r="J61" s="315">
        <f>'[1]Airport Academies&amp;aerozones T&amp;D'!F25</f>
        <v>0.29629629629629628</v>
      </c>
      <c r="K61" s="315">
        <f>'[1]Airport Academies&amp;aerozones T&amp;D'!G25</f>
        <v>0.41004184100418412</v>
      </c>
      <c r="L61" s="315">
        <f>'[1]Airport Academies&amp;aerozones T&amp;D'!J25</f>
        <v>0.29967426710097722</v>
      </c>
      <c r="M61" s="315">
        <v>2.3E-2</v>
      </c>
      <c r="N61" s="500">
        <v>0.14099999999999999</v>
      </c>
      <c r="O61" s="500">
        <v>0.45200000000000001</v>
      </c>
      <c r="P61" s="254">
        <f t="shared" si="6"/>
        <v>2.2056737588652489</v>
      </c>
      <c r="Q61" s="355"/>
    </row>
    <row r="62" spans="1:17" ht="59.45" hidden="1">
      <c r="A62" s="3449"/>
      <c r="B62" s="3451"/>
      <c r="C62" s="3462"/>
      <c r="D62" s="3465"/>
      <c r="E62" s="335" t="s">
        <v>100</v>
      </c>
      <c r="F62" s="339" t="s">
        <v>23</v>
      </c>
      <c r="G62" s="339" t="s">
        <v>23</v>
      </c>
      <c r="H62" s="340" t="s">
        <v>24</v>
      </c>
      <c r="I62" s="340" t="s">
        <v>24</v>
      </c>
      <c r="J62" s="340" t="s">
        <v>24</v>
      </c>
      <c r="K62" s="340" t="s">
        <v>24</v>
      </c>
      <c r="L62" s="340" t="s">
        <v>24</v>
      </c>
      <c r="M62" s="310" t="s">
        <v>27</v>
      </c>
      <c r="N62" s="310"/>
      <c r="O62" s="310"/>
      <c r="P62" s="310" t="s">
        <v>24</v>
      </c>
      <c r="Q62" s="324"/>
    </row>
    <row r="63" spans="1:17" ht="59.45" hidden="1">
      <c r="A63" s="3449"/>
      <c r="B63" s="3451"/>
      <c r="C63" s="320" t="s">
        <v>101</v>
      </c>
      <c r="D63" s="317">
        <v>2025</v>
      </c>
      <c r="E63" s="357" t="s">
        <v>22</v>
      </c>
      <c r="F63" s="307" t="s">
        <v>23</v>
      </c>
      <c r="G63" s="307" t="s">
        <v>23</v>
      </c>
      <c r="H63" s="322" t="s">
        <v>24</v>
      </c>
      <c r="I63" s="322" t="s">
        <v>24</v>
      </c>
      <c r="J63" s="322" t="s">
        <v>24</v>
      </c>
      <c r="K63" s="322" t="s">
        <v>24</v>
      </c>
      <c r="L63" s="322" t="s">
        <v>24</v>
      </c>
      <c r="M63" s="310" t="s">
        <v>27</v>
      </c>
      <c r="N63" s="310"/>
      <c r="O63" s="310"/>
      <c r="P63" s="310" t="s">
        <v>24</v>
      </c>
      <c r="Q63" s="324"/>
    </row>
    <row r="64" spans="1:17" ht="79.900000000000006" hidden="1" thickBot="1">
      <c r="A64" s="3449"/>
      <c r="B64" s="3451"/>
      <c r="C64" s="358" t="s">
        <v>102</v>
      </c>
      <c r="D64" s="359">
        <v>2025</v>
      </c>
      <c r="E64" s="360" t="s">
        <v>22</v>
      </c>
      <c r="F64" s="361" t="s">
        <v>23</v>
      </c>
      <c r="G64" s="361" t="s">
        <v>23</v>
      </c>
      <c r="H64" s="362" t="s">
        <v>24</v>
      </c>
      <c r="I64" s="362" t="s">
        <v>24</v>
      </c>
      <c r="J64" s="362" t="s">
        <v>24</v>
      </c>
      <c r="K64" s="362" t="s">
        <v>24</v>
      </c>
      <c r="L64" s="362" t="s">
        <v>24</v>
      </c>
      <c r="M64" s="363" t="s">
        <v>27</v>
      </c>
      <c r="N64" s="363"/>
      <c r="O64" s="363"/>
      <c r="P64" s="363" t="s">
        <v>24</v>
      </c>
      <c r="Q64" s="364"/>
    </row>
    <row r="65" spans="1:17" ht="29.45" hidden="1">
      <c r="A65" s="3449"/>
      <c r="B65" s="3451"/>
      <c r="C65" s="3466" t="s">
        <v>103</v>
      </c>
      <c r="D65" s="3455">
        <v>2020</v>
      </c>
      <c r="E65" s="318" t="s">
        <v>104</v>
      </c>
      <c r="F65" s="306" t="s">
        <v>23</v>
      </c>
      <c r="G65" s="306" t="s">
        <v>23</v>
      </c>
      <c r="H65" s="308" t="s">
        <v>24</v>
      </c>
      <c r="I65" s="308" t="s">
        <v>24</v>
      </c>
      <c r="J65" s="308" t="s">
        <v>24</v>
      </c>
      <c r="K65" s="308" t="s">
        <v>24</v>
      </c>
      <c r="L65" s="309" t="s">
        <v>24</v>
      </c>
      <c r="M65" s="310" t="s">
        <v>45</v>
      </c>
      <c r="N65" s="310"/>
      <c r="O65" s="310"/>
      <c r="P65" s="336" t="s">
        <v>24</v>
      </c>
      <c r="Q65" s="324"/>
    </row>
    <row r="66" spans="1:17" ht="29.45">
      <c r="A66" s="3449"/>
      <c r="B66" s="3451"/>
      <c r="C66" s="3453"/>
      <c r="D66" s="3459"/>
      <c r="E66" s="365" t="s">
        <v>106</v>
      </c>
      <c r="F66" s="306" t="s">
        <v>23</v>
      </c>
      <c r="G66" s="307" t="s">
        <v>29</v>
      </c>
      <c r="H66" s="311">
        <f>'[1]Procurement practices'!D12</f>
        <v>0.17274939172749393</v>
      </c>
      <c r="I66" s="311">
        <f>'[1]Procurement practices'!E12</f>
        <v>0.18</v>
      </c>
      <c r="J66" s="311">
        <f>'[1]Procurement practices'!F12</f>
        <v>0.16</v>
      </c>
      <c r="K66" s="311">
        <f>'[1]Procurement practices'!I12</f>
        <v>0.19</v>
      </c>
      <c r="L66" s="311">
        <f>'[1]Procurement practices'!L12</f>
        <v>0.18</v>
      </c>
      <c r="M66" s="366">
        <f>'[1]Procurement practices'!O12</f>
        <v>0.18</v>
      </c>
      <c r="N66" s="370">
        <v>0.2</v>
      </c>
      <c r="O66" s="370">
        <v>0.2</v>
      </c>
      <c r="P66" s="254">
        <f t="shared" ref="P66:P67" si="7">(O66-N66)/N66</f>
        <v>0</v>
      </c>
      <c r="Q66" s="278"/>
    </row>
    <row r="67" spans="1:17" ht="40.15" thickBot="1">
      <c r="A67" s="3449"/>
      <c r="B67" s="3451"/>
      <c r="C67" s="3453"/>
      <c r="D67" s="3459"/>
      <c r="E67" s="365" t="s">
        <v>107</v>
      </c>
      <c r="F67" s="306" t="s">
        <v>23</v>
      </c>
      <c r="G67" s="307" t="s">
        <v>29</v>
      </c>
      <c r="H67" s="484">
        <f>'[1]Procurement practices'!D21</f>
        <v>0.307</v>
      </c>
      <c r="I67" s="484">
        <f>'[1]Procurement practices'!E21</f>
        <v>0.30199999999999999</v>
      </c>
      <c r="J67" s="484">
        <f>'[1]Procurement practices'!F21</f>
        <v>0.14209336219862284</v>
      </c>
      <c r="K67" s="484">
        <f>'[1]Procurement practices'!I21</f>
        <v>0.14499999999999999</v>
      </c>
      <c r="L67" s="484">
        <f>'[1]Procurement practices'!L21</f>
        <v>0.14699999999999999</v>
      </c>
      <c r="M67" s="484">
        <f>'[1]Procurement practices'!O21</f>
        <v>0.16700000000000001</v>
      </c>
      <c r="N67" s="370">
        <v>0.2</v>
      </c>
      <c r="O67" s="370">
        <v>0.2</v>
      </c>
      <c r="P67" s="254">
        <f t="shared" si="7"/>
        <v>0</v>
      </c>
      <c r="Q67" s="352"/>
    </row>
    <row r="68" spans="1:17" ht="40.15" hidden="1" thickBot="1">
      <c r="A68" s="3449"/>
      <c r="B68" s="3451"/>
      <c r="C68" s="3457"/>
      <c r="D68" s="3459"/>
      <c r="E68" s="368" t="s">
        <v>108</v>
      </c>
      <c r="F68" s="306" t="s">
        <v>23</v>
      </c>
      <c r="G68" s="306" t="s">
        <v>23</v>
      </c>
      <c r="H68" s="351">
        <f>'[1]Economic Performance'!E10</f>
        <v>6160</v>
      </c>
      <c r="I68" s="351">
        <f>'[1]Economic Performance'!F10</f>
        <v>7060</v>
      </c>
      <c r="J68" s="351">
        <f>'[1]Economic Performance'!I10</f>
        <v>7750</v>
      </c>
      <c r="K68" s="351">
        <f>'[1]Economic Performance'!L10</f>
        <v>8200</v>
      </c>
      <c r="L68" s="351" t="str">
        <f>'[1]Economic Performance'!O10</f>
        <v>Not measured this year</v>
      </c>
      <c r="M68" s="369" t="str">
        <f>'[1]Economic Performance'!R10</f>
        <v>Not measured this year</v>
      </c>
      <c r="N68" s="369"/>
      <c r="O68" s="369"/>
      <c r="P68" s="370" t="e">
        <f>M68-L68</f>
        <v>#VALUE!</v>
      </c>
      <c r="Q68" s="371"/>
    </row>
    <row r="69" spans="1:17" ht="40.15" hidden="1" thickBot="1">
      <c r="A69" s="3449"/>
      <c r="B69" s="3451"/>
      <c r="C69" s="335" t="s">
        <v>110</v>
      </c>
      <c r="D69" s="317">
        <v>2021</v>
      </c>
      <c r="E69" s="327" t="s">
        <v>22</v>
      </c>
      <c r="F69" s="307" t="s">
        <v>23</v>
      </c>
      <c r="G69" s="307" t="s">
        <v>23</v>
      </c>
      <c r="H69" s="322" t="s">
        <v>24</v>
      </c>
      <c r="I69" s="322" t="s">
        <v>24</v>
      </c>
      <c r="J69" s="322" t="s">
        <v>24</v>
      </c>
      <c r="K69" s="322" t="s">
        <v>24</v>
      </c>
      <c r="L69" s="323" t="s">
        <v>24</v>
      </c>
      <c r="M69" s="310" t="s">
        <v>27</v>
      </c>
      <c r="N69" s="310"/>
      <c r="O69" s="310"/>
      <c r="P69" s="310" t="s">
        <v>24</v>
      </c>
      <c r="Q69" s="324"/>
    </row>
    <row r="70" spans="1:17" ht="60" hidden="1" thickBot="1">
      <c r="A70" s="3449"/>
      <c r="B70" s="3451"/>
      <c r="C70" s="335" t="s">
        <v>111</v>
      </c>
      <c r="D70" s="317">
        <v>2021</v>
      </c>
      <c r="E70" s="327" t="s">
        <v>22</v>
      </c>
      <c r="F70" s="307" t="s">
        <v>23</v>
      </c>
      <c r="G70" s="307" t="s">
        <v>23</v>
      </c>
      <c r="H70" s="322" t="s">
        <v>24</v>
      </c>
      <c r="I70" s="322" t="s">
        <v>24</v>
      </c>
      <c r="J70" s="322" t="s">
        <v>24</v>
      </c>
      <c r="K70" s="322" t="s">
        <v>24</v>
      </c>
      <c r="L70" s="323" t="s">
        <v>24</v>
      </c>
      <c r="M70" s="310" t="s">
        <v>27</v>
      </c>
      <c r="N70" s="310"/>
      <c r="O70" s="310"/>
      <c r="P70" s="310" t="s">
        <v>24</v>
      </c>
      <c r="Q70" s="324"/>
    </row>
    <row r="71" spans="1:17" ht="30" hidden="1" thickBot="1">
      <c r="A71" s="3449"/>
      <c r="B71" s="3451"/>
      <c r="C71" s="3466" t="s">
        <v>112</v>
      </c>
      <c r="D71" s="317">
        <v>2021</v>
      </c>
      <c r="E71" s="327" t="s">
        <v>22</v>
      </c>
      <c r="F71" s="307" t="s">
        <v>23</v>
      </c>
      <c r="G71" s="307" t="s">
        <v>23</v>
      </c>
      <c r="H71" s="322" t="s">
        <v>24</v>
      </c>
      <c r="I71" s="322" t="s">
        <v>24</v>
      </c>
      <c r="J71" s="322" t="s">
        <v>24</v>
      </c>
      <c r="K71" s="322" t="s">
        <v>24</v>
      </c>
      <c r="L71" s="323" t="s">
        <v>24</v>
      </c>
      <c r="M71" s="310" t="s">
        <v>27</v>
      </c>
      <c r="N71" s="310"/>
      <c r="O71" s="310"/>
      <c r="P71" s="310" t="s">
        <v>24</v>
      </c>
      <c r="Q71" s="324"/>
    </row>
    <row r="72" spans="1:17" ht="30" hidden="1" thickBot="1">
      <c r="A72" s="3449"/>
      <c r="B72" s="3451"/>
      <c r="C72" s="3467"/>
      <c r="D72" s="372" t="s">
        <v>24</v>
      </c>
      <c r="E72" s="343" t="s">
        <v>113</v>
      </c>
      <c r="F72" s="307" t="s">
        <v>23</v>
      </c>
      <c r="G72" s="307" t="s">
        <v>23</v>
      </c>
      <c r="H72" s="373">
        <f>'[1]Diversity and Equal Opportunity'!F45</f>
        <v>0</v>
      </c>
      <c r="I72" s="373">
        <f>'[1]Diversity and Equal Opportunity'!H45</f>
        <v>0</v>
      </c>
      <c r="J72" s="373" t="str">
        <f>'[1]Diversity and Equal Opportunity'!J45</f>
        <v>n/a</v>
      </c>
      <c r="K72" s="373" t="str">
        <f>'[1]Diversity and Equal Opportunity'!L45</f>
        <v>n/a</v>
      </c>
      <c r="L72" s="373" t="str">
        <f>'[1]Diversity and Equal Opportunity'!N45</f>
        <v>n/a</v>
      </c>
      <c r="M72" s="374" t="str">
        <f>'[1]Diversity and Equal Opportunity'!P45</f>
        <v>n/a</v>
      </c>
      <c r="N72" s="374"/>
      <c r="O72" s="374"/>
      <c r="P72" s="366" t="e">
        <f>(M72-L72)/L72</f>
        <v>#VALUE!</v>
      </c>
      <c r="Q72" s="316"/>
    </row>
    <row r="73" spans="1:17" ht="30" hidden="1" thickBot="1">
      <c r="A73" s="3449"/>
      <c r="B73" s="3451"/>
      <c r="C73" s="3453" t="s">
        <v>114</v>
      </c>
      <c r="D73" s="317">
        <v>2021</v>
      </c>
      <c r="E73" s="327" t="s">
        <v>22</v>
      </c>
      <c r="F73" s="307" t="s">
        <v>23</v>
      </c>
      <c r="G73" s="307" t="s">
        <v>23</v>
      </c>
      <c r="H73" s="322" t="s">
        <v>24</v>
      </c>
      <c r="I73" s="322" t="s">
        <v>24</v>
      </c>
      <c r="J73" s="322" t="s">
        <v>24</v>
      </c>
      <c r="K73" s="322" t="s">
        <v>24</v>
      </c>
      <c r="L73" s="323" t="s">
        <v>24</v>
      </c>
      <c r="M73" s="310" t="s">
        <v>27</v>
      </c>
      <c r="N73" s="310"/>
      <c r="O73" s="310"/>
      <c r="P73" s="310" t="s">
        <v>24</v>
      </c>
      <c r="Q73" s="324"/>
    </row>
    <row r="74" spans="1:17" ht="99.6" hidden="1" thickBot="1">
      <c r="A74" s="3449"/>
      <c r="B74" s="3451"/>
      <c r="C74" s="3454"/>
      <c r="D74" s="372" t="s">
        <v>24</v>
      </c>
      <c r="E74" s="368" t="s">
        <v>115</v>
      </c>
      <c r="F74" s="307" t="s">
        <v>23</v>
      </c>
      <c r="G74" s="307" t="s">
        <v>23</v>
      </c>
      <c r="H74" s="330">
        <f>'[1]Employee Dev &amp; Engage'!D32</f>
        <v>0.48</v>
      </c>
      <c r="I74" s="330">
        <f>'[1]Employee Dev &amp; Engage'!E32</f>
        <v>0.54</v>
      </c>
      <c r="J74" s="330" t="str">
        <f>'[1]Employee Dev &amp; Engage'!F32</f>
        <v>No survey carried out this year</v>
      </c>
      <c r="K74" s="330" t="str">
        <f>'[1]Employee Dev &amp; Engage'!G32</f>
        <v>No survey carried out this year</v>
      </c>
      <c r="L74" s="330">
        <f>'[1]Employee Dev &amp; Engage'!J32</f>
        <v>0.57999999999999996</v>
      </c>
      <c r="M74" s="375" t="str">
        <f>'[1]Employee Dev &amp; Engage'!M32</f>
        <v>No survey carried out this year</v>
      </c>
      <c r="N74" s="375"/>
      <c r="O74" s="375"/>
      <c r="P74" s="376"/>
      <c r="Q74" s="377"/>
    </row>
    <row r="75" spans="1:17" ht="40.15" hidden="1" thickBot="1">
      <c r="A75" s="3449"/>
      <c r="B75" s="3451"/>
      <c r="C75" s="335" t="s">
        <v>116</v>
      </c>
      <c r="D75" s="337">
        <v>2021</v>
      </c>
      <c r="E75" s="338" t="s">
        <v>22</v>
      </c>
      <c r="F75" s="339" t="s">
        <v>23</v>
      </c>
      <c r="G75" s="339" t="s">
        <v>23</v>
      </c>
      <c r="H75" s="340" t="s">
        <v>24</v>
      </c>
      <c r="I75" s="340" t="s">
        <v>24</v>
      </c>
      <c r="J75" s="340" t="s">
        <v>24</v>
      </c>
      <c r="K75" s="340" t="s">
        <v>24</v>
      </c>
      <c r="L75" s="340" t="s">
        <v>24</v>
      </c>
      <c r="M75" s="310" t="s">
        <v>27</v>
      </c>
      <c r="N75" s="310"/>
      <c r="O75" s="310"/>
      <c r="P75" s="310" t="s">
        <v>24</v>
      </c>
      <c r="Q75" s="324"/>
    </row>
    <row r="76" spans="1:17" ht="60" hidden="1" thickBot="1">
      <c r="A76" s="3449"/>
      <c r="B76" s="3451"/>
      <c r="C76" s="335" t="s">
        <v>117</v>
      </c>
      <c r="D76" s="337">
        <v>2021</v>
      </c>
      <c r="E76" s="338" t="s">
        <v>22</v>
      </c>
      <c r="F76" s="339" t="s">
        <v>23</v>
      </c>
      <c r="G76" s="339" t="s">
        <v>23</v>
      </c>
      <c r="H76" s="340" t="s">
        <v>24</v>
      </c>
      <c r="I76" s="340" t="s">
        <v>24</v>
      </c>
      <c r="J76" s="340" t="s">
        <v>24</v>
      </c>
      <c r="K76" s="340" t="s">
        <v>24</v>
      </c>
      <c r="L76" s="340" t="s">
        <v>24</v>
      </c>
      <c r="M76" s="310" t="s">
        <v>27</v>
      </c>
      <c r="N76" s="310"/>
      <c r="O76" s="310"/>
      <c r="P76" s="310" t="s">
        <v>24</v>
      </c>
      <c r="Q76" s="324"/>
    </row>
    <row r="77" spans="1:17" ht="60" hidden="1" thickBot="1">
      <c r="A77" s="3449"/>
      <c r="B77" s="3451"/>
      <c r="C77" s="335" t="s">
        <v>118</v>
      </c>
      <c r="D77" s="337">
        <v>2022</v>
      </c>
      <c r="E77" s="338" t="s">
        <v>22</v>
      </c>
      <c r="F77" s="339" t="s">
        <v>23</v>
      </c>
      <c r="G77" s="339" t="s">
        <v>23</v>
      </c>
      <c r="H77" s="340" t="s">
        <v>24</v>
      </c>
      <c r="I77" s="340" t="s">
        <v>24</v>
      </c>
      <c r="J77" s="340" t="s">
        <v>24</v>
      </c>
      <c r="K77" s="340" t="s">
        <v>24</v>
      </c>
      <c r="L77" s="340" t="s">
        <v>24</v>
      </c>
      <c r="M77" s="310" t="s">
        <v>27</v>
      </c>
      <c r="N77" s="310"/>
      <c r="O77" s="310"/>
      <c r="P77" s="310" t="s">
        <v>24</v>
      </c>
      <c r="Q77" s="324"/>
    </row>
    <row r="78" spans="1:17" ht="40.15" hidden="1" thickBot="1">
      <c r="A78" s="3449"/>
      <c r="B78" s="3451"/>
      <c r="C78" s="335" t="s">
        <v>119</v>
      </c>
      <c r="D78" s="337">
        <v>2022</v>
      </c>
      <c r="E78" s="338" t="s">
        <v>22</v>
      </c>
      <c r="F78" s="339" t="s">
        <v>23</v>
      </c>
      <c r="G78" s="339" t="s">
        <v>23</v>
      </c>
      <c r="H78" s="340" t="s">
        <v>24</v>
      </c>
      <c r="I78" s="340" t="s">
        <v>24</v>
      </c>
      <c r="J78" s="340" t="s">
        <v>24</v>
      </c>
      <c r="K78" s="340" t="s">
        <v>24</v>
      </c>
      <c r="L78" s="340" t="s">
        <v>24</v>
      </c>
      <c r="M78" s="310" t="s">
        <v>27</v>
      </c>
      <c r="N78" s="310"/>
      <c r="O78" s="310"/>
      <c r="P78" s="310" t="s">
        <v>24</v>
      </c>
      <c r="Q78" s="324"/>
    </row>
    <row r="79" spans="1:17" ht="60" hidden="1" thickBot="1">
      <c r="A79" s="3449"/>
      <c r="B79" s="3451"/>
      <c r="C79" s="335" t="s">
        <v>120</v>
      </c>
      <c r="D79" s="337">
        <v>2023</v>
      </c>
      <c r="E79" s="338" t="s">
        <v>22</v>
      </c>
      <c r="F79" s="339" t="s">
        <v>23</v>
      </c>
      <c r="G79" s="339" t="s">
        <v>23</v>
      </c>
      <c r="H79" s="340" t="s">
        <v>24</v>
      </c>
      <c r="I79" s="340" t="s">
        <v>24</v>
      </c>
      <c r="J79" s="340" t="s">
        <v>24</v>
      </c>
      <c r="K79" s="340" t="s">
        <v>24</v>
      </c>
      <c r="L79" s="340" t="s">
        <v>24</v>
      </c>
      <c r="M79" s="310" t="s">
        <v>27</v>
      </c>
      <c r="N79" s="310"/>
      <c r="O79" s="310"/>
      <c r="P79" s="310" t="s">
        <v>24</v>
      </c>
      <c r="Q79" s="324"/>
    </row>
    <row r="80" spans="1:17" ht="59.45">
      <c r="A80" s="3468" t="s">
        <v>121</v>
      </c>
      <c r="B80" s="3471" t="s">
        <v>20</v>
      </c>
      <c r="C80" s="378" t="s">
        <v>122</v>
      </c>
      <c r="D80" s="379">
        <v>2020</v>
      </c>
      <c r="E80" s="380" t="s">
        <v>123</v>
      </c>
      <c r="F80" s="381" t="s">
        <v>29</v>
      </c>
      <c r="G80" s="382" t="s">
        <v>29</v>
      </c>
      <c r="H80" s="379" t="str">
        <f>'[1]Employee Volunteering '!E25</f>
        <v>n/a</v>
      </c>
      <c r="I80" s="379" t="str">
        <f>'[1]Employee Volunteering '!F25</f>
        <v>n/a</v>
      </c>
      <c r="J80" s="379" t="str">
        <f>'[1]Employee Volunteering '!G25</f>
        <v>n/a</v>
      </c>
      <c r="K80" s="379" t="str">
        <f>'[1]Employee Volunteering '!H25</f>
        <v>n/a</v>
      </c>
      <c r="L80" s="379" t="str">
        <f>'[1]Employee Volunteering '!I25</f>
        <v>n/a</v>
      </c>
      <c r="M80" s="383">
        <f>'[1]Employee Volunteering '!J25</f>
        <v>0.13138686131386862</v>
      </c>
      <c r="N80" s="833">
        <v>0.14699999999999999</v>
      </c>
      <c r="O80" s="833">
        <v>0.41</v>
      </c>
      <c r="P80" s="254">
        <f t="shared" ref="P80:P84" si="8">(O80-N80)/N80</f>
        <v>1.7891156462585036</v>
      </c>
      <c r="Q80" s="352"/>
    </row>
    <row r="81" spans="1:17" ht="39.6">
      <c r="A81" s="3469"/>
      <c r="B81" s="3472"/>
      <c r="C81" s="384" t="s">
        <v>124</v>
      </c>
      <c r="D81" s="385">
        <v>2020</v>
      </c>
      <c r="E81" s="386" t="s">
        <v>125</v>
      </c>
      <c r="F81" s="382" t="s">
        <v>29</v>
      </c>
      <c r="G81" s="382" t="s">
        <v>29</v>
      </c>
      <c r="H81" s="387">
        <f>'[1]Employee Volunteering '!E23</f>
        <v>0.159</v>
      </c>
      <c r="I81" s="388">
        <f>'[1]Employee Volunteering '!F23</f>
        <v>0.13600000000000001</v>
      </c>
      <c r="J81" s="388">
        <f>'[1]Employee Volunteering '!G23</f>
        <v>0.11</v>
      </c>
      <c r="K81" s="388">
        <f>'[1]Employee Volunteering '!H23</f>
        <v>0.19</v>
      </c>
      <c r="L81" s="388">
        <f>'[1]Employee Volunteering '!I23</f>
        <v>0.19463087248322147</v>
      </c>
      <c r="M81" s="389">
        <f>'[1]Employee Volunteering '!J23</f>
        <v>5.1212938005390833E-2</v>
      </c>
      <c r="N81" s="834">
        <v>3.9E-2</v>
      </c>
      <c r="O81" s="834">
        <v>5.2999999999999999E-2</v>
      </c>
      <c r="P81" s="254">
        <f t="shared" si="8"/>
        <v>0.35897435897435892</v>
      </c>
      <c r="Q81" s="352"/>
    </row>
    <row r="82" spans="1:17" ht="59.45">
      <c r="A82" s="3469"/>
      <c r="B82" s="3472"/>
      <c r="C82" s="391" t="s">
        <v>126</v>
      </c>
      <c r="D82" s="385">
        <v>2020</v>
      </c>
      <c r="E82" s="392" t="s">
        <v>127</v>
      </c>
      <c r="F82" s="382" t="s">
        <v>29</v>
      </c>
      <c r="G82" s="382" t="s">
        <v>29</v>
      </c>
      <c r="H82" s="393">
        <f>'[1]Employee Volunteering '!E21</f>
        <v>3445</v>
      </c>
      <c r="I82" s="393">
        <f>'[1]Employee Volunteering '!F21</f>
        <v>4478</v>
      </c>
      <c r="J82" s="393">
        <f>'[1]Employee Volunteering '!G21</f>
        <v>4832.45</v>
      </c>
      <c r="K82" s="393">
        <f>'[1]Employee Volunteering '!H21</f>
        <v>7191</v>
      </c>
      <c r="L82" s="393">
        <f>'[1]Employee Volunteering '!I21</f>
        <v>11807</v>
      </c>
      <c r="M82" s="394">
        <f>'[1]Employee Volunteering '!J21</f>
        <v>9994</v>
      </c>
      <c r="N82" s="835">
        <v>2072</v>
      </c>
      <c r="O82" s="835">
        <v>1211</v>
      </c>
      <c r="P82" s="254">
        <f t="shared" si="8"/>
        <v>-0.41554054054054052</v>
      </c>
      <c r="Q82" s="390"/>
    </row>
    <row r="83" spans="1:17" ht="29.45">
      <c r="A83" s="3469"/>
      <c r="B83" s="3472"/>
      <c r="C83" s="3474" t="s">
        <v>128</v>
      </c>
      <c r="D83" s="3476">
        <v>2025</v>
      </c>
      <c r="E83" s="386" t="s">
        <v>129</v>
      </c>
      <c r="F83" s="397" t="s">
        <v>29</v>
      </c>
      <c r="G83" s="397" t="s">
        <v>29</v>
      </c>
      <c r="H83" s="398">
        <f>'[1]Community and Charity Donations'!F14</f>
        <v>80793</v>
      </c>
      <c r="I83" s="398">
        <f>'[1]Community and Charity Donations'!G14</f>
        <v>88699</v>
      </c>
      <c r="J83" s="398">
        <f>'[1]Community and Charity Donations'!H14</f>
        <v>97313</v>
      </c>
      <c r="K83" s="399">
        <f>'[1]Community and Charity Donations'!I14</f>
        <v>219272</v>
      </c>
      <c r="L83" s="400">
        <f>'[1]Community and Charity Donations'!J14</f>
        <v>49125</v>
      </c>
      <c r="M83" s="401">
        <f>'[1]Community and Charity Donations'!K14</f>
        <v>50000</v>
      </c>
      <c r="N83" s="861">
        <v>6000</v>
      </c>
      <c r="O83" s="861">
        <v>193094</v>
      </c>
      <c r="P83" s="254">
        <f t="shared" si="8"/>
        <v>31.182333333333332</v>
      </c>
      <c r="Q83" s="352"/>
    </row>
    <row r="84" spans="1:17" ht="29.45">
      <c r="A84" s="3469"/>
      <c r="B84" s="3472"/>
      <c r="C84" s="3475"/>
      <c r="D84" s="3477"/>
      <c r="E84" s="392" t="s">
        <v>130</v>
      </c>
      <c r="F84" s="397" t="s">
        <v>29</v>
      </c>
      <c r="G84" s="397" t="s">
        <v>29</v>
      </c>
      <c r="H84" s="394">
        <f>'[1]Community and Charity Donations'!F15</f>
        <v>109</v>
      </c>
      <c r="I84" s="394">
        <f>'[1]Community and Charity Donations'!G15</f>
        <v>115</v>
      </c>
      <c r="J84" s="394">
        <f>'[1]Community and Charity Donations'!H15</f>
        <v>100</v>
      </c>
      <c r="K84" s="394">
        <f>'[1]Community and Charity Donations'!I15</f>
        <v>204</v>
      </c>
      <c r="L84" s="402">
        <f>'[1]Community and Charity Donations'!J15</f>
        <v>94</v>
      </c>
      <c r="M84" s="403">
        <f>'[1]Community and Charity Donations'!K15</f>
        <v>4</v>
      </c>
      <c r="N84" s="837">
        <v>27</v>
      </c>
      <c r="O84" s="837">
        <v>28</v>
      </c>
      <c r="P84" s="254">
        <f t="shared" si="8"/>
        <v>3.7037037037037035E-2</v>
      </c>
      <c r="Q84" s="352"/>
    </row>
    <row r="85" spans="1:17" ht="59.45" hidden="1">
      <c r="A85" s="3469"/>
      <c r="B85" s="3472"/>
      <c r="C85" s="391" t="s">
        <v>131</v>
      </c>
      <c r="D85" s="385">
        <v>2020</v>
      </c>
      <c r="E85" s="404" t="s">
        <v>22</v>
      </c>
      <c r="F85" s="382" t="s">
        <v>23</v>
      </c>
      <c r="G85" s="382" t="s">
        <v>23</v>
      </c>
      <c r="H85" s="393" t="s">
        <v>24</v>
      </c>
      <c r="I85" s="393" t="s">
        <v>24</v>
      </c>
      <c r="J85" s="393" t="s">
        <v>24</v>
      </c>
      <c r="K85" s="393" t="s">
        <v>24</v>
      </c>
      <c r="L85" s="393" t="s">
        <v>24</v>
      </c>
      <c r="M85" s="405" t="s">
        <v>25</v>
      </c>
      <c r="N85" s="405"/>
      <c r="O85" s="405"/>
      <c r="P85" s="406">
        <v>1</v>
      </c>
      <c r="Q85" s="352"/>
    </row>
    <row r="86" spans="1:17" ht="79.150000000000006" hidden="1">
      <c r="A86" s="3469"/>
      <c r="B86" s="3472"/>
      <c r="C86" s="391" t="s">
        <v>133</v>
      </c>
      <c r="D86" s="385">
        <v>2020</v>
      </c>
      <c r="E86" s="404" t="s">
        <v>22</v>
      </c>
      <c r="F86" s="382" t="s">
        <v>23</v>
      </c>
      <c r="G86" s="382" t="s">
        <v>23</v>
      </c>
      <c r="H86" s="393" t="s">
        <v>24</v>
      </c>
      <c r="I86" s="393" t="s">
        <v>24</v>
      </c>
      <c r="J86" s="393" t="s">
        <v>24</v>
      </c>
      <c r="K86" s="393" t="s">
        <v>24</v>
      </c>
      <c r="L86" s="393" t="s">
        <v>24</v>
      </c>
      <c r="M86" s="405" t="s">
        <v>25</v>
      </c>
      <c r="N86" s="405"/>
      <c r="O86" s="405"/>
      <c r="P86" s="406">
        <v>1</v>
      </c>
      <c r="Q86" s="352"/>
    </row>
    <row r="87" spans="1:17" ht="59.45" hidden="1">
      <c r="A87" s="3469"/>
      <c r="B87" s="3472"/>
      <c r="C87" s="391" t="s">
        <v>134</v>
      </c>
      <c r="D87" s="385">
        <v>2021</v>
      </c>
      <c r="E87" s="404" t="s">
        <v>22</v>
      </c>
      <c r="F87" s="382" t="s">
        <v>23</v>
      </c>
      <c r="G87" s="382" t="s">
        <v>23</v>
      </c>
      <c r="H87" s="393" t="s">
        <v>24</v>
      </c>
      <c r="I87" s="393" t="s">
        <v>24</v>
      </c>
      <c r="J87" s="393" t="s">
        <v>24</v>
      </c>
      <c r="K87" s="393" t="s">
        <v>24</v>
      </c>
      <c r="L87" s="393" t="s">
        <v>24</v>
      </c>
      <c r="M87" s="405" t="s">
        <v>56</v>
      </c>
      <c r="N87" s="405"/>
      <c r="O87" s="405"/>
      <c r="P87" s="406">
        <v>1</v>
      </c>
      <c r="Q87" s="352"/>
    </row>
    <row r="88" spans="1:17" ht="39.6" hidden="1">
      <c r="A88" s="3469"/>
      <c r="B88" s="3472"/>
      <c r="C88" s="391" t="s">
        <v>135</v>
      </c>
      <c r="D88" s="385">
        <v>2021</v>
      </c>
      <c r="E88" s="404" t="s">
        <v>22</v>
      </c>
      <c r="F88" s="382" t="s">
        <v>23</v>
      </c>
      <c r="G88" s="382" t="s">
        <v>23</v>
      </c>
      <c r="H88" s="393" t="s">
        <v>24</v>
      </c>
      <c r="I88" s="393" t="s">
        <v>24</v>
      </c>
      <c r="J88" s="393" t="s">
        <v>24</v>
      </c>
      <c r="K88" s="393" t="s">
        <v>24</v>
      </c>
      <c r="L88" s="393" t="s">
        <v>24</v>
      </c>
      <c r="M88" s="405" t="s">
        <v>27</v>
      </c>
      <c r="N88" s="405"/>
      <c r="O88" s="405"/>
      <c r="P88" s="405" t="s">
        <v>24</v>
      </c>
      <c r="Q88" s="352"/>
    </row>
    <row r="89" spans="1:17" ht="39.6" hidden="1">
      <c r="A89" s="3469"/>
      <c r="B89" s="3472"/>
      <c r="C89" s="391" t="s">
        <v>136</v>
      </c>
      <c r="D89" s="385">
        <v>2022</v>
      </c>
      <c r="E89" s="404" t="s">
        <v>22</v>
      </c>
      <c r="F89" s="382" t="s">
        <v>23</v>
      </c>
      <c r="G89" s="382" t="s">
        <v>23</v>
      </c>
      <c r="H89" s="393" t="s">
        <v>24</v>
      </c>
      <c r="I89" s="393" t="s">
        <v>24</v>
      </c>
      <c r="J89" s="393" t="s">
        <v>24</v>
      </c>
      <c r="K89" s="393" t="s">
        <v>24</v>
      </c>
      <c r="L89" s="393" t="s">
        <v>24</v>
      </c>
      <c r="M89" s="405" t="s">
        <v>27</v>
      </c>
      <c r="N89" s="405"/>
      <c r="O89" s="405"/>
      <c r="P89" s="405" t="s">
        <v>24</v>
      </c>
      <c r="Q89" s="352"/>
    </row>
    <row r="90" spans="1:17" ht="29.45" hidden="1">
      <c r="A90" s="3469"/>
      <c r="B90" s="3472"/>
      <c r="C90" s="3478" t="s">
        <v>137</v>
      </c>
      <c r="D90" s="396">
        <v>2025</v>
      </c>
      <c r="E90" s="409" t="s">
        <v>22</v>
      </c>
      <c r="F90" s="397" t="s">
        <v>23</v>
      </c>
      <c r="G90" s="397" t="s">
        <v>23</v>
      </c>
      <c r="H90" s="398" t="s">
        <v>24</v>
      </c>
      <c r="I90" s="398" t="s">
        <v>24</v>
      </c>
      <c r="J90" s="398" t="s">
        <v>24</v>
      </c>
      <c r="K90" s="398" t="s">
        <v>24</v>
      </c>
      <c r="L90" s="398" t="s">
        <v>24</v>
      </c>
      <c r="M90" s="410" t="s">
        <v>27</v>
      </c>
      <c r="N90" s="410"/>
      <c r="O90" s="410"/>
      <c r="P90" s="410" t="s">
        <v>24</v>
      </c>
      <c r="Q90" s="352"/>
    </row>
    <row r="91" spans="1:17" ht="29.45">
      <c r="A91" s="3469"/>
      <c r="B91" s="3472"/>
      <c r="C91" s="3478"/>
      <c r="D91" s="396" t="s">
        <v>24</v>
      </c>
      <c r="E91" s="411" t="s">
        <v>138</v>
      </c>
      <c r="F91" s="397" t="s">
        <v>29</v>
      </c>
      <c r="G91" s="397" t="s">
        <v>29</v>
      </c>
      <c r="H91" s="412">
        <f>'[1]Community outreach&amp;neightbour'!C9</f>
        <v>85</v>
      </c>
      <c r="I91" s="412">
        <f>'[1]Community outreach&amp;neightbour'!D9</f>
        <v>86</v>
      </c>
      <c r="J91" s="412">
        <f>'[1]Community outreach&amp;neightbour'!E9</f>
        <v>99</v>
      </c>
      <c r="K91" s="412">
        <f>'[1]Community outreach&amp;neightbour'!F9</f>
        <v>83</v>
      </c>
      <c r="L91" s="412">
        <f>'[1]Community outreach&amp;neightbour'!G9</f>
        <v>90</v>
      </c>
      <c r="M91" s="413">
        <f>'[1]Community outreach&amp;neightbour'!H9</f>
        <v>36</v>
      </c>
      <c r="N91" s="839">
        <v>27</v>
      </c>
      <c r="O91" s="839">
        <v>82</v>
      </c>
      <c r="P91" s="254">
        <f>(O91-N91)/N91</f>
        <v>2.0370370370370372</v>
      </c>
      <c r="Q91" s="352"/>
    </row>
    <row r="92" spans="1:17" ht="29.45" hidden="1">
      <c r="A92" s="3469"/>
      <c r="B92" s="3472"/>
      <c r="C92" s="3479" t="s">
        <v>139</v>
      </c>
      <c r="D92" s="396">
        <v>2025</v>
      </c>
      <c r="E92" s="409" t="s">
        <v>22</v>
      </c>
      <c r="F92" s="397" t="s">
        <v>23</v>
      </c>
      <c r="G92" s="397" t="s">
        <v>23</v>
      </c>
      <c r="H92" s="398" t="s">
        <v>24</v>
      </c>
      <c r="I92" s="398" t="s">
        <v>24</v>
      </c>
      <c r="J92" s="398" t="s">
        <v>24</v>
      </c>
      <c r="K92" s="398" t="s">
        <v>24</v>
      </c>
      <c r="L92" s="398" t="s">
        <v>24</v>
      </c>
      <c r="M92" s="415" t="s">
        <v>27</v>
      </c>
      <c r="N92" s="415"/>
      <c r="O92" s="415"/>
      <c r="P92" s="405" t="s">
        <v>24</v>
      </c>
      <c r="Q92" s="408"/>
    </row>
    <row r="93" spans="1:17" ht="29.45">
      <c r="A93" s="3469"/>
      <c r="B93" s="3472"/>
      <c r="C93" s="3480"/>
      <c r="D93" s="396" t="s">
        <v>24</v>
      </c>
      <c r="E93" s="416" t="s">
        <v>140</v>
      </c>
      <c r="F93" s="397" t="s">
        <v>23</v>
      </c>
      <c r="G93" s="397" t="s">
        <v>29</v>
      </c>
      <c r="H93" s="389">
        <f>'[1]Noise Procedures'!H30</f>
        <v>0.99335975152618616</v>
      </c>
      <c r="I93" s="389">
        <f>'[1]Noise Procedures'!I30</f>
        <v>0.99289756839585708</v>
      </c>
      <c r="J93" s="389">
        <f>'[1]Noise Procedures'!J30</f>
        <v>0.99550398534320284</v>
      </c>
      <c r="K93" s="389">
        <f>'[1]Noise Procedures'!K30</f>
        <v>0.99609999999999999</v>
      </c>
      <c r="L93" s="389">
        <f>'[1]Noise Procedures'!L30</f>
        <v>0.99709999999999999</v>
      </c>
      <c r="M93" s="389">
        <f>'[1]Noise Procedures'!M30</f>
        <v>0.996</v>
      </c>
      <c r="N93" s="834">
        <v>0.998</v>
      </c>
      <c r="O93" s="834">
        <v>0.998</v>
      </c>
      <c r="P93" s="254">
        <f t="shared" ref="P93:P99" si="9">(O93-N93)/N93</f>
        <v>0</v>
      </c>
      <c r="Q93" s="278"/>
    </row>
    <row r="94" spans="1:17" ht="29.45">
      <c r="A94" s="3469"/>
      <c r="B94" s="3472"/>
      <c r="C94" s="3480"/>
      <c r="D94" s="396"/>
      <c r="E94" s="386" t="s">
        <v>141</v>
      </c>
      <c r="F94" s="397" t="s">
        <v>23</v>
      </c>
      <c r="G94" s="397" t="s">
        <v>29</v>
      </c>
      <c r="H94" s="417" t="str">
        <f>'[1]Noise Procedures'!H32</f>
        <v>n/a</v>
      </c>
      <c r="I94" s="417" t="str">
        <f>'[1]Noise Procedures'!I32</f>
        <v>n/a</v>
      </c>
      <c r="J94" s="417" t="str">
        <f>'[1]Noise Procedures'!J32</f>
        <v>n/a</v>
      </c>
      <c r="K94" s="417">
        <f>'[1]Noise Procedures'!K32</f>
        <v>0.72764404964904628</v>
      </c>
      <c r="L94" s="417">
        <f>'[1]Noise Procedures'!L32</f>
        <v>0.74345876551429968</v>
      </c>
      <c r="M94" s="417">
        <f>'[1]Noise Procedures'!M32</f>
        <v>0.86520062300674927</v>
      </c>
      <c r="N94" s="841">
        <v>0.84599999999999997</v>
      </c>
      <c r="O94" s="841">
        <v>0.83699999999999997</v>
      </c>
      <c r="P94" s="254">
        <f t="shared" si="9"/>
        <v>-1.0638297872340436E-2</v>
      </c>
      <c r="Q94" s="414"/>
    </row>
    <row r="95" spans="1:17" ht="29.45">
      <c r="A95" s="3469"/>
      <c r="B95" s="3472"/>
      <c r="C95" s="3480"/>
      <c r="D95" s="396" t="s">
        <v>24</v>
      </c>
      <c r="E95" s="386" t="s">
        <v>142</v>
      </c>
      <c r="F95" s="397" t="s">
        <v>23</v>
      </c>
      <c r="G95" s="397" t="s">
        <v>29</v>
      </c>
      <c r="H95" s="417">
        <f>'[1]Noise Procedures'!H35</f>
        <v>0.94245860184354346</v>
      </c>
      <c r="I95" s="417">
        <f>'[1]Noise Procedures'!I35</f>
        <v>0.93586542252595606</v>
      </c>
      <c r="J95" s="417">
        <f>'[1]Noise Procedures'!J35</f>
        <v>0.94097084067526859</v>
      </c>
      <c r="K95" s="417">
        <f>'[1]Noise Procedures'!K35</f>
        <v>0.94740000000000002</v>
      </c>
      <c r="L95" s="417">
        <f>'[1]Noise Procedures'!L35</f>
        <v>0.9466</v>
      </c>
      <c r="M95" s="417">
        <f>'[1]Noise Procedures'!M35</f>
        <v>0.9234</v>
      </c>
      <c r="N95" s="841">
        <v>0.94199999999999995</v>
      </c>
      <c r="O95" s="841">
        <v>0.96</v>
      </c>
      <c r="P95" s="254">
        <f t="shared" si="9"/>
        <v>1.9108280254777087E-2</v>
      </c>
      <c r="Q95" s="419"/>
    </row>
    <row r="96" spans="1:17" ht="29.45">
      <c r="A96" s="3469"/>
      <c r="B96" s="3472"/>
      <c r="C96" s="3480"/>
      <c r="D96" s="396" t="s">
        <v>24</v>
      </c>
      <c r="E96" s="386" t="s">
        <v>143</v>
      </c>
      <c r="F96" s="397" t="s">
        <v>23</v>
      </c>
      <c r="G96" s="397" t="s">
        <v>29</v>
      </c>
      <c r="H96" s="418">
        <f>'[1]Noise Footprint '!$I$91</f>
        <v>23.6</v>
      </c>
      <c r="I96" s="418">
        <f>'[1]Noise Footprint '!$I$92</f>
        <v>24.8</v>
      </c>
      <c r="J96" s="418">
        <f>'[1]Noise Footprint '!$I$93</f>
        <v>26.5</v>
      </c>
      <c r="K96" s="418">
        <f>'[1]Noise Footprint '!$I$94</f>
        <v>28.5</v>
      </c>
      <c r="L96" s="418">
        <f>'[1]Noise Footprint '!$I$95</f>
        <v>28.5</v>
      </c>
      <c r="M96" s="418">
        <v>11.8</v>
      </c>
      <c r="N96" s="844">
        <v>15.7</v>
      </c>
      <c r="O96" s="844">
        <v>21.4</v>
      </c>
      <c r="P96" s="254">
        <f t="shared" si="9"/>
        <v>0.36305732484076431</v>
      </c>
      <c r="Q96" s="419"/>
    </row>
    <row r="97" spans="1:17" ht="29.45">
      <c r="A97" s="3469"/>
      <c r="B97" s="3472"/>
      <c r="C97" s="3480"/>
      <c r="D97" s="396"/>
      <c r="E97" s="386" t="s">
        <v>144</v>
      </c>
      <c r="F97" s="397" t="s">
        <v>23</v>
      </c>
      <c r="G97" s="397" t="s">
        <v>29</v>
      </c>
      <c r="H97" s="420">
        <f>'[1]Noise Footprint '!$J$91</f>
        <v>1650</v>
      </c>
      <c r="I97" s="420">
        <f>'[1]Noise Footprint '!$J$92</f>
        <v>2050</v>
      </c>
      <c r="J97" s="420">
        <f>'[1]Noise Footprint '!$J$93</f>
        <v>2450</v>
      </c>
      <c r="K97" s="420">
        <f>'[1]Noise Footprint '!$J$94</f>
        <v>2100</v>
      </c>
      <c r="L97" s="420">
        <f>'[1]Noise Footprint '!$J$95</f>
        <v>2500</v>
      </c>
      <c r="M97" s="420">
        <v>500</v>
      </c>
      <c r="N97" s="843">
        <v>1100</v>
      </c>
      <c r="O97" s="843">
        <v>1800</v>
      </c>
      <c r="P97" s="254">
        <f t="shared" si="9"/>
        <v>0.63636363636363635</v>
      </c>
      <c r="Q97" s="419"/>
    </row>
    <row r="98" spans="1:17" ht="29.45">
      <c r="A98" s="3469"/>
      <c r="B98" s="3472"/>
      <c r="C98" s="3480"/>
      <c r="D98" s="396"/>
      <c r="E98" s="386" t="s">
        <v>145</v>
      </c>
      <c r="F98" s="397" t="s">
        <v>23</v>
      </c>
      <c r="G98" s="397" t="s">
        <v>29</v>
      </c>
      <c r="H98" s="418">
        <f>'[1]Noise Footprint '!$I$111</f>
        <v>8.5</v>
      </c>
      <c r="I98" s="418">
        <f>'[1]Noise Footprint '!$I$112</f>
        <v>9.1999999999999993</v>
      </c>
      <c r="J98" s="418">
        <f>'[1]Noise Footprint '!$I$113</f>
        <v>9.6</v>
      </c>
      <c r="K98" s="418">
        <f>'[1]Noise Footprint '!$I$114</f>
        <v>10.3</v>
      </c>
      <c r="L98" s="418">
        <f>'[1]Noise Footprint '!$I$115</f>
        <v>10.8</v>
      </c>
      <c r="M98" s="418">
        <v>4.9000000000000004</v>
      </c>
      <c r="N98" s="844">
        <v>8.1999999999999993</v>
      </c>
      <c r="O98" s="844">
        <v>9.3000000000000007</v>
      </c>
      <c r="P98" s="254">
        <f t="shared" si="9"/>
        <v>0.13414634146341481</v>
      </c>
      <c r="Q98" s="419"/>
    </row>
    <row r="99" spans="1:17" ht="29.45">
      <c r="A99" s="3469"/>
      <c r="B99" s="3472"/>
      <c r="C99" s="3480"/>
      <c r="D99" s="396" t="s">
        <v>24</v>
      </c>
      <c r="E99" s="386" t="s">
        <v>146</v>
      </c>
      <c r="F99" s="397" t="s">
        <v>23</v>
      </c>
      <c r="G99" s="397" t="s">
        <v>29</v>
      </c>
      <c r="H99" s="421">
        <f>'[1]Noise Footprint '!$J$111</f>
        <v>250</v>
      </c>
      <c r="I99" s="421">
        <f>'[1]Noise Footprint '!$J$112</f>
        <v>350</v>
      </c>
      <c r="J99" s="421">
        <f>'[1]Noise Footprint '!$J$113</f>
        <v>400</v>
      </c>
      <c r="K99" s="421">
        <f>'[1]Noise Footprint '!$J$114</f>
        <v>450</v>
      </c>
      <c r="L99" s="421">
        <f>'[1]Noise Footprint '!$J$115</f>
        <v>450</v>
      </c>
      <c r="M99" s="421">
        <v>50</v>
      </c>
      <c r="N99" s="845">
        <v>200</v>
      </c>
      <c r="O99" s="845">
        <v>400</v>
      </c>
      <c r="P99" s="254">
        <f t="shared" si="9"/>
        <v>1</v>
      </c>
      <c r="Q99" s="419"/>
    </row>
    <row r="100" spans="1:17" ht="29.45" hidden="1">
      <c r="A100" s="3469"/>
      <c r="B100" s="3472"/>
      <c r="C100" s="3478" t="s">
        <v>147</v>
      </c>
      <c r="D100" s="3476">
        <v>2024</v>
      </c>
      <c r="E100" s="409" t="s">
        <v>22</v>
      </c>
      <c r="F100" s="397" t="s">
        <v>23</v>
      </c>
      <c r="G100" s="397" t="s">
        <v>23</v>
      </c>
      <c r="H100" s="398" t="s">
        <v>24</v>
      </c>
      <c r="I100" s="398" t="s">
        <v>24</v>
      </c>
      <c r="J100" s="398" t="s">
        <v>24</v>
      </c>
      <c r="K100" s="398" t="s">
        <v>24</v>
      </c>
      <c r="L100" s="398" t="s">
        <v>24</v>
      </c>
      <c r="M100" s="405" t="s">
        <v>27</v>
      </c>
      <c r="N100" s="405"/>
      <c r="O100" s="405"/>
      <c r="P100" s="405" t="s">
        <v>24</v>
      </c>
      <c r="Q100" s="408"/>
    </row>
    <row r="101" spans="1:17" ht="29.45">
      <c r="A101" s="3469"/>
      <c r="B101" s="3472"/>
      <c r="C101" s="3478"/>
      <c r="D101" s="3476"/>
      <c r="E101" s="422" t="s">
        <v>148</v>
      </c>
      <c r="F101" s="397" t="s">
        <v>29</v>
      </c>
      <c r="G101" s="397" t="s">
        <v>29</v>
      </c>
      <c r="H101" s="394">
        <f>'[1]Noise Complaints'!H19</f>
        <v>887</v>
      </c>
      <c r="I101" s="394">
        <f>'[1]Noise Complaints'!I19</f>
        <v>6213</v>
      </c>
      <c r="J101" s="394">
        <f>'[1]Noise Complaints'!J19</f>
        <v>9283</v>
      </c>
      <c r="K101" s="394">
        <f>'[1]Noise Complaints'!K19</f>
        <v>13834</v>
      </c>
      <c r="L101" s="394">
        <f>'[1]Noise Complaints'!N19</f>
        <v>14043</v>
      </c>
      <c r="M101" s="423">
        <f>'[1]Noise Complaints'!Q19</f>
        <v>4926</v>
      </c>
      <c r="N101" s="846">
        <v>9050</v>
      </c>
      <c r="O101" s="846">
        <v>8845</v>
      </c>
      <c r="P101" s="254">
        <f>(O101-N101)/N101</f>
        <v>-2.2651933701657457E-2</v>
      </c>
      <c r="Q101" s="419"/>
    </row>
    <row r="102" spans="1:17" ht="29.45" hidden="1">
      <c r="A102" s="3469"/>
      <c r="B102" s="3472"/>
      <c r="C102" s="3478"/>
      <c r="D102" s="3476"/>
      <c r="E102" s="424" t="s">
        <v>149</v>
      </c>
      <c r="F102" s="397" t="s">
        <v>23</v>
      </c>
      <c r="G102" s="397" t="s">
        <v>23</v>
      </c>
      <c r="H102" s="425">
        <f>'[1]Noise Complaints'!H24</f>
        <v>5.1245905238406122</v>
      </c>
      <c r="I102" s="425">
        <f>'[1]Noise Complaints'!I24</f>
        <v>34.383145451828732</v>
      </c>
      <c r="J102" s="425">
        <f>'[1]Noise Complaints'!J24</f>
        <v>48.445344383095538</v>
      </c>
      <c r="K102" s="425">
        <f>'[1]Noise Complaints'!K24</f>
        <v>68.015772343333623</v>
      </c>
      <c r="L102" s="426">
        <f>'[1]Noise Complaints'!N24</f>
        <v>72.411606070137623</v>
      </c>
      <c r="M102" s="426">
        <f>'[1]Noise Complaints'!Q24</f>
        <v>86.89976361006245</v>
      </c>
      <c r="N102" s="426"/>
      <c r="O102" s="426"/>
      <c r="P102" s="417">
        <f>(M102-L102)/L102</f>
        <v>0.2000805993156905</v>
      </c>
      <c r="Q102" s="419"/>
    </row>
    <row r="103" spans="1:17" ht="29.45">
      <c r="A103" s="3469"/>
      <c r="B103" s="3472"/>
      <c r="C103" s="3481"/>
      <c r="D103" s="3477"/>
      <c r="E103" s="422" t="s">
        <v>150</v>
      </c>
      <c r="F103" s="397" t="s">
        <v>29</v>
      </c>
      <c r="G103" s="397" t="s">
        <v>29</v>
      </c>
      <c r="H103" s="398" t="str">
        <f>'[1]Noise Complaints'!H22</f>
        <v>n/a</v>
      </c>
      <c r="I103" s="398" t="str">
        <f>'[1]Noise Complaints'!I22</f>
        <v>n/a</v>
      </c>
      <c r="J103" s="398" t="str">
        <f>'[1]Noise Complaints'!J22</f>
        <v>n/a</v>
      </c>
      <c r="K103" s="398">
        <f>'[1]Noise Complaints'!K22</f>
        <v>550</v>
      </c>
      <c r="L103" s="398">
        <f>'[1]Noise Complaints'!N22</f>
        <v>608</v>
      </c>
      <c r="M103" s="423">
        <f>'[1]Noise Complaints'!Q22</f>
        <v>428</v>
      </c>
      <c r="N103" s="846">
        <v>376</v>
      </c>
      <c r="O103" s="846">
        <v>502</v>
      </c>
      <c r="P103" s="254">
        <f t="shared" ref="P103:P104" si="10">(O103-N103)/N103</f>
        <v>0.33510638297872342</v>
      </c>
      <c r="Q103" s="427"/>
    </row>
    <row r="104" spans="1:17" ht="29.45">
      <c r="A104" s="3469"/>
      <c r="B104" s="3472"/>
      <c r="C104" s="3481"/>
      <c r="D104" s="3477"/>
      <c r="E104" s="422" t="s">
        <v>151</v>
      </c>
      <c r="F104" s="397" t="s">
        <v>29</v>
      </c>
      <c r="G104" s="397" t="s">
        <v>29</v>
      </c>
      <c r="H104" s="428">
        <f>'[1]Noise Complaints'!H23</f>
        <v>195.13754227733935</v>
      </c>
      <c r="I104" s="428">
        <f>'[1]Noise Complaints'!I23</f>
        <v>29.084017382906808</v>
      </c>
      <c r="J104" s="428">
        <f>'[1]Noise Complaints'!J23</f>
        <v>20.64181837767963</v>
      </c>
      <c r="K104" s="428">
        <f>'[1]Noise Complaints'!K23</f>
        <v>14.702472170015902</v>
      </c>
      <c r="L104" s="428">
        <f>'[1]Noise Complaints'!N23</f>
        <v>13.809940895819981</v>
      </c>
      <c r="M104" s="428">
        <f>'[1]Noise Complaints'!Q23</f>
        <v>11.507511165245635</v>
      </c>
      <c r="N104" s="863">
        <v>13</v>
      </c>
      <c r="O104" s="863">
        <v>21</v>
      </c>
      <c r="P104" s="254">
        <f t="shared" si="10"/>
        <v>0.61538461538461542</v>
      </c>
      <c r="Q104" s="407"/>
    </row>
    <row r="105" spans="1:17" ht="60" hidden="1" thickBot="1">
      <c r="A105" s="3470"/>
      <c r="B105" s="3473"/>
      <c r="C105" s="429" t="s">
        <v>152</v>
      </c>
      <c r="D105" s="430">
        <v>2025</v>
      </c>
      <c r="E105" s="431" t="s">
        <v>22</v>
      </c>
      <c r="F105" s="432" t="s">
        <v>23</v>
      </c>
      <c r="G105" s="432" t="s">
        <v>23</v>
      </c>
      <c r="H105" s="433" t="s">
        <v>24</v>
      </c>
      <c r="I105" s="433" t="s">
        <v>24</v>
      </c>
      <c r="J105" s="433" t="s">
        <v>24</v>
      </c>
      <c r="K105" s="433" t="s">
        <v>24</v>
      </c>
      <c r="L105" s="434" t="s">
        <v>24</v>
      </c>
      <c r="M105" s="435" t="s">
        <v>27</v>
      </c>
      <c r="N105" s="435"/>
      <c r="O105" s="435"/>
      <c r="P105" s="435"/>
      <c r="Q105" s="436"/>
    </row>
    <row r="106" spans="1:17">
      <c r="C106" s="230"/>
      <c r="D106" s="230"/>
      <c r="P106" s="230"/>
    </row>
    <row r="107" spans="1:17">
      <c r="C107" s="230"/>
      <c r="D107" s="230"/>
      <c r="P107" s="230"/>
    </row>
    <row r="108" spans="1:17">
      <c r="C108" s="230"/>
      <c r="D108" s="230"/>
      <c r="P108" s="230"/>
    </row>
    <row r="109" spans="1:17">
      <c r="A109" s="440"/>
      <c r="B109" s="441"/>
      <c r="C109" s="230"/>
      <c r="D109" s="230"/>
      <c r="P109" s="230"/>
    </row>
    <row r="110" spans="1:17" ht="27">
      <c r="A110" s="442"/>
      <c r="B110" s="443"/>
      <c r="C110" s="230"/>
      <c r="D110" s="230"/>
      <c r="E110" s="444" t="str">
        <f>'[1]Passengers (PAX), Air Traffi'!A9</f>
        <v>East Midlands</v>
      </c>
      <c r="F110" s="445"/>
      <c r="G110" s="445"/>
      <c r="H110" s="446">
        <f>'[1]Passengers (PAX), Air Traffi'!C10</f>
        <v>51197028</v>
      </c>
      <c r="I110" s="446">
        <f>'[1]Passengers (PAX), Air Traffi'!D10</f>
        <v>55254242</v>
      </c>
      <c r="J110" s="446">
        <f>'[1]Passengers (PAX), Air Traffi'!E10</f>
        <v>58877291</v>
      </c>
      <c r="K110" s="446">
        <f>'[1]Passengers (PAX), Air Traffi'!H10</f>
        <v>61829148</v>
      </c>
      <c r="L110" s="447">
        <f>'[1]Passengers (PAX), Air Traffi'!L10</f>
        <v>59598685</v>
      </c>
      <c r="M110" s="447">
        <f>'[1]Passengers (PAX), Air Traffi'!P10</f>
        <v>6323949</v>
      </c>
      <c r="N110" s="864"/>
      <c r="O110" s="864"/>
      <c r="P110" s="448">
        <f>(M110-L110)/L110</f>
        <v>-0.89389113199393577</v>
      </c>
    </row>
    <row r="111" spans="1:17">
      <c r="A111" s="438"/>
      <c r="C111" s="230"/>
      <c r="D111" s="439"/>
      <c r="E111" s="449" t="s">
        <v>153</v>
      </c>
      <c r="F111" s="450"/>
      <c r="G111" s="450"/>
      <c r="H111" s="450" t="s">
        <v>50</v>
      </c>
      <c r="I111" s="450" t="s">
        <v>50</v>
      </c>
      <c r="J111" s="450" t="s">
        <v>50</v>
      </c>
      <c r="K111" s="451">
        <f>'[1]H&amp;S and Sickness'!H43</f>
        <v>12190879</v>
      </c>
      <c r="L111" s="452">
        <f>'[1]H&amp;S and Sickness'!K43</f>
        <v>13550757</v>
      </c>
      <c r="M111" s="452">
        <f>'[1]H&amp;S and Sickness'!N43</f>
        <v>3826527</v>
      </c>
      <c r="N111" s="865"/>
      <c r="O111" s="865"/>
      <c r="P111" s="453">
        <f>(M111-L111)/L111</f>
        <v>-0.71761525942794191</v>
      </c>
    </row>
  </sheetData>
  <autoFilter ref="A2:R105" xr:uid="{F8FC10CC-3961-4054-9E7C-A4A6B7B0FD8D}">
    <filterColumn colId="6">
      <filters>
        <filter val="ü"/>
      </filters>
    </filterColumn>
  </autoFilter>
  <mergeCells count="32">
    <mergeCell ref="A80:A105"/>
    <mergeCell ref="B80:B105"/>
    <mergeCell ref="C83:C84"/>
    <mergeCell ref="D83:D84"/>
    <mergeCell ref="C90:C91"/>
    <mergeCell ref="C92:C99"/>
    <mergeCell ref="C100:C104"/>
    <mergeCell ref="D100:D104"/>
    <mergeCell ref="A38:A79"/>
    <mergeCell ref="B38:B79"/>
    <mergeCell ref="C39:C42"/>
    <mergeCell ref="C43:C44"/>
    <mergeCell ref="D43:D44"/>
    <mergeCell ref="C45:C50"/>
    <mergeCell ref="D45:D50"/>
    <mergeCell ref="C55:C56"/>
    <mergeCell ref="D55:D56"/>
    <mergeCell ref="C58:C62"/>
    <mergeCell ref="D58:D62"/>
    <mergeCell ref="C65:C68"/>
    <mergeCell ref="D65:D68"/>
    <mergeCell ref="C71:C72"/>
    <mergeCell ref="C73:C74"/>
    <mergeCell ref="A3:A37"/>
    <mergeCell ref="B3:B37"/>
    <mergeCell ref="C4:C11"/>
    <mergeCell ref="C12:C16"/>
    <mergeCell ref="D12:D16"/>
    <mergeCell ref="C19:C22"/>
    <mergeCell ref="D19:D22"/>
    <mergeCell ref="C27:C30"/>
    <mergeCell ref="C36:C37"/>
  </mergeCells>
  <pageMargins left="0.7" right="0.7" top="0.75" bottom="0.75" header="0.3" footer="0.3"/>
  <pageSetup paperSize="9" scale="25" fitToHeight="0" orientation="landscape" r:id="rId1"/>
  <headerFooter>
    <oddHeader>&amp;L&amp;"Arial,Regular"&amp;9M.A.G CSR Data Reporting Spreadsheet
&amp;R&amp;G</oddHeader>
    <oddFooter>&amp;C&amp;"Arial,Regular"&amp;9
Produced by Simply Sustainable Ltd
_x000D_&amp;1#&amp;"Calibri"&amp;10&amp;K000000 C2 - Internal</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63161-C888-42FE-9143-DBD0C8382A33}">
  <sheetPr codeName="Sheet26">
    <tabColor theme="0"/>
  </sheetPr>
  <dimension ref="B1:BF94"/>
  <sheetViews>
    <sheetView showGridLines="0" zoomScaleNormal="100" workbookViewId="0">
      <pane xSplit="9" topLeftCell="P1" activePane="topRight" state="frozen"/>
      <selection pane="topRight"/>
    </sheetView>
  </sheetViews>
  <sheetFormatPr defaultColWidth="8.85546875" defaultRowHeight="13.9"/>
  <cols>
    <col min="1" max="1" width="3.7109375" style="8" customWidth="1"/>
    <col min="2" max="2" width="20.42578125" style="8" bestFit="1" customWidth="1"/>
    <col min="3" max="3" width="40.140625" style="8" customWidth="1"/>
    <col min="4" max="9" width="10.7109375" style="8" hidden="1" customWidth="1"/>
    <col min="10" max="10" width="11.85546875" style="8" hidden="1" customWidth="1"/>
    <col min="11" max="15" width="10.7109375" style="8" hidden="1" customWidth="1"/>
    <col min="16" max="16" width="12" style="8" customWidth="1"/>
    <col min="17" max="17" width="10.85546875" style="8" customWidth="1"/>
    <col min="18" max="21" width="10.7109375" style="8" customWidth="1"/>
    <col min="22" max="27" width="9.42578125" style="8" customWidth="1"/>
    <col min="28" max="28" width="10.7109375" style="8" customWidth="1"/>
    <col min="29" max="34" width="9.42578125" style="8" customWidth="1"/>
    <col min="35" max="35" width="10.7109375" style="8" customWidth="1"/>
    <col min="36" max="41" width="8.85546875" style="8" customWidth="1"/>
    <col min="42" max="43" width="8.85546875" style="8"/>
    <col min="44" max="44" width="10.140625" style="8" bestFit="1" customWidth="1"/>
    <col min="45" max="16384" width="8.85546875" style="8"/>
  </cols>
  <sheetData>
    <row r="1" spans="2:58" ht="17.45">
      <c r="B1" s="15" t="s">
        <v>895</v>
      </c>
    </row>
    <row r="2" spans="2:58" ht="17.45">
      <c r="B2" s="15" t="s">
        <v>896</v>
      </c>
    </row>
    <row r="3" spans="2:58" ht="18" thickBot="1">
      <c r="B3" s="15"/>
    </row>
    <row r="4" spans="2:58" ht="14.25" customHeight="1">
      <c r="B4" s="4055" t="s">
        <v>788</v>
      </c>
      <c r="C4" s="3182" t="s">
        <v>162</v>
      </c>
      <c r="D4" s="4089" t="s">
        <v>12</v>
      </c>
      <c r="E4" s="4057"/>
      <c r="F4" s="4057"/>
      <c r="G4" s="4057"/>
      <c r="H4" s="4057"/>
      <c r="I4" s="4058"/>
      <c r="J4" s="4091" t="s">
        <v>13</v>
      </c>
      <c r="K4" s="4057"/>
      <c r="L4" s="4057"/>
      <c r="M4" s="4057"/>
      <c r="N4" s="4057"/>
      <c r="O4" s="4090"/>
      <c r="P4" s="4089" t="s">
        <v>14</v>
      </c>
      <c r="Q4" s="4057"/>
      <c r="R4" s="4057"/>
      <c r="S4" s="4057"/>
      <c r="T4" s="4057"/>
      <c r="U4" s="4090"/>
      <c r="V4" s="4059" t="s">
        <v>15</v>
      </c>
      <c r="W4" s="4060"/>
      <c r="X4" s="4060"/>
      <c r="Y4" s="4060"/>
      <c r="Z4" s="4060"/>
      <c r="AA4" s="4060"/>
      <c r="AB4" s="4061"/>
      <c r="AC4" s="4059" t="s">
        <v>16</v>
      </c>
      <c r="AD4" s="4060"/>
      <c r="AE4" s="4060"/>
      <c r="AF4" s="4060"/>
      <c r="AG4" s="4060"/>
      <c r="AH4" s="4060"/>
      <c r="AI4" s="4061"/>
      <c r="AJ4" s="4059" t="s">
        <v>163</v>
      </c>
      <c r="AK4" s="4060"/>
      <c r="AL4" s="4060"/>
      <c r="AM4" s="4060"/>
      <c r="AN4" s="4060"/>
      <c r="AO4" s="4060"/>
      <c r="AP4" s="4061"/>
      <c r="AQ4" s="4059" t="s">
        <v>164</v>
      </c>
      <c r="AR4" s="4060"/>
      <c r="AS4" s="4060"/>
      <c r="AT4" s="4060"/>
      <c r="AU4" s="4060"/>
      <c r="AV4" s="4060"/>
      <c r="AW4" s="4061"/>
    </row>
    <row r="5" spans="2:58">
      <c r="B5" s="4056"/>
      <c r="C5" s="3252" t="s">
        <v>897</v>
      </c>
      <c r="D5" s="1115" t="s">
        <v>609</v>
      </c>
      <c r="E5" s="1116" t="s">
        <v>610</v>
      </c>
      <c r="F5" s="1116" t="s">
        <v>611</v>
      </c>
      <c r="G5" s="1116" t="s">
        <v>612</v>
      </c>
      <c r="H5" s="1116" t="s">
        <v>613</v>
      </c>
      <c r="I5" s="1117" t="s">
        <v>614</v>
      </c>
      <c r="J5" s="1118" t="s">
        <v>609</v>
      </c>
      <c r="K5" s="495" t="s">
        <v>610</v>
      </c>
      <c r="L5" s="495" t="s">
        <v>611</v>
      </c>
      <c r="M5" s="495" t="s">
        <v>612</v>
      </c>
      <c r="N5" s="495" t="s">
        <v>613</v>
      </c>
      <c r="O5" s="1119" t="s">
        <v>614</v>
      </c>
      <c r="P5" s="1120" t="s">
        <v>609</v>
      </c>
      <c r="Q5" s="495" t="s">
        <v>610</v>
      </c>
      <c r="R5" s="495" t="s">
        <v>611</v>
      </c>
      <c r="S5" s="495" t="s">
        <v>612</v>
      </c>
      <c r="T5" s="495" t="s">
        <v>613</v>
      </c>
      <c r="U5" s="1119" t="s">
        <v>614</v>
      </c>
      <c r="V5" s="1118" t="s">
        <v>609</v>
      </c>
      <c r="W5" s="495" t="s">
        <v>610</v>
      </c>
      <c r="X5" s="495" t="s">
        <v>611</v>
      </c>
      <c r="Y5" s="495" t="s">
        <v>612</v>
      </c>
      <c r="Z5" s="495" t="s">
        <v>613</v>
      </c>
      <c r="AA5" s="508" t="s">
        <v>614</v>
      </c>
      <c r="AB5" s="1119" t="s">
        <v>620</v>
      </c>
      <c r="AC5" s="1118" t="s">
        <v>609</v>
      </c>
      <c r="AD5" s="495" t="s">
        <v>610</v>
      </c>
      <c r="AE5" s="508" t="s">
        <v>611</v>
      </c>
      <c r="AF5" s="508" t="s">
        <v>612</v>
      </c>
      <c r="AG5" s="508" t="s">
        <v>613</v>
      </c>
      <c r="AH5" s="495" t="s">
        <v>614</v>
      </c>
      <c r="AI5" s="1119" t="s">
        <v>620</v>
      </c>
      <c r="AJ5" s="1120" t="s">
        <v>609</v>
      </c>
      <c r="AK5" s="495" t="s">
        <v>610</v>
      </c>
      <c r="AL5" s="508" t="s">
        <v>611</v>
      </c>
      <c r="AM5" s="508" t="s">
        <v>612</v>
      </c>
      <c r="AN5" s="508" t="s">
        <v>613</v>
      </c>
      <c r="AO5" s="495" t="s">
        <v>614</v>
      </c>
      <c r="AP5" s="1119" t="s">
        <v>620</v>
      </c>
      <c r="AQ5" s="1120" t="s">
        <v>609</v>
      </c>
      <c r="AR5" s="495" t="s">
        <v>610</v>
      </c>
      <c r="AS5" s="508" t="s">
        <v>611</v>
      </c>
      <c r="AT5" s="508" t="s">
        <v>612</v>
      </c>
      <c r="AU5" s="508" t="s">
        <v>613</v>
      </c>
      <c r="AV5" s="495" t="s">
        <v>614</v>
      </c>
      <c r="AW5" s="1119" t="s">
        <v>620</v>
      </c>
    </row>
    <row r="6" spans="2:58" ht="15" customHeight="1">
      <c r="B6" s="4092" t="s">
        <v>279</v>
      </c>
      <c r="C6" s="3253" t="s">
        <v>898</v>
      </c>
      <c r="D6" s="1134">
        <v>534</v>
      </c>
      <c r="E6" s="1121">
        <v>953</v>
      </c>
      <c r="F6" s="1122">
        <v>815</v>
      </c>
      <c r="G6" s="1122">
        <v>1046</v>
      </c>
      <c r="H6" s="1122">
        <v>709</v>
      </c>
      <c r="I6" s="1123">
        <v>97</v>
      </c>
      <c r="J6" s="1124">
        <v>434</v>
      </c>
      <c r="K6" s="1125">
        <v>942</v>
      </c>
      <c r="L6" s="1126">
        <v>839</v>
      </c>
      <c r="M6" s="1126">
        <v>1012</v>
      </c>
      <c r="N6" s="1126">
        <v>764</v>
      </c>
      <c r="O6" s="1127">
        <v>105</v>
      </c>
      <c r="P6" s="1128">
        <v>304</v>
      </c>
      <c r="Q6" s="1129">
        <v>718</v>
      </c>
      <c r="R6" s="1129">
        <v>691</v>
      </c>
      <c r="S6" s="1129">
        <v>804</v>
      </c>
      <c r="T6" s="1129">
        <v>543</v>
      </c>
      <c r="U6" s="1130">
        <v>57</v>
      </c>
      <c r="V6" s="1319">
        <v>208</v>
      </c>
      <c r="W6" s="1129">
        <v>593</v>
      </c>
      <c r="X6" s="1129">
        <v>621</v>
      </c>
      <c r="Y6" s="1129">
        <v>654</v>
      </c>
      <c r="Z6" s="1129">
        <v>523</v>
      </c>
      <c r="AA6" s="1335">
        <v>59</v>
      </c>
      <c r="AB6" s="1133">
        <f>SUM(V6:AA6)</f>
        <v>2658</v>
      </c>
      <c r="AC6" s="1128">
        <v>391</v>
      </c>
      <c r="AD6" s="1129">
        <v>872</v>
      </c>
      <c r="AE6" s="1129">
        <v>826</v>
      </c>
      <c r="AF6" s="1129">
        <v>791</v>
      </c>
      <c r="AG6" s="1129">
        <v>668</v>
      </c>
      <c r="AH6" s="1129">
        <v>93</v>
      </c>
      <c r="AI6" s="1133">
        <f>SUM(AC6:AH6)</f>
        <v>3641</v>
      </c>
      <c r="AJ6" s="1131">
        <v>567</v>
      </c>
      <c r="AK6" s="1132">
        <v>998</v>
      </c>
      <c r="AL6" s="1132">
        <v>913</v>
      </c>
      <c r="AM6" s="1132">
        <v>855</v>
      </c>
      <c r="AN6" s="1132">
        <v>713</v>
      </c>
      <c r="AO6" s="1129">
        <v>105</v>
      </c>
      <c r="AP6" s="1133">
        <f>SUM(AJ6:AO6)</f>
        <v>4151</v>
      </c>
      <c r="AQ6" s="1131">
        <v>731</v>
      </c>
      <c r="AR6" s="1132">
        <v>1135</v>
      </c>
      <c r="AS6" s="1132">
        <v>1068</v>
      </c>
      <c r="AT6" s="1132">
        <v>1012</v>
      </c>
      <c r="AU6" s="1132">
        <v>918</v>
      </c>
      <c r="AV6" s="1132">
        <v>142</v>
      </c>
      <c r="AW6" s="1133">
        <v>5006</v>
      </c>
      <c r="AX6" s="3153"/>
    </row>
    <row r="7" spans="2:58" ht="15" customHeight="1">
      <c r="B7" s="4093"/>
      <c r="C7" s="3254" t="s">
        <v>899</v>
      </c>
      <c r="D7" s="1134">
        <v>0</v>
      </c>
      <c r="E7" s="1121">
        <v>19</v>
      </c>
      <c r="F7" s="1122">
        <v>52</v>
      </c>
      <c r="G7" s="1122">
        <v>35</v>
      </c>
      <c r="H7" s="1122">
        <v>6</v>
      </c>
      <c r="I7" s="1123">
        <v>1</v>
      </c>
      <c r="J7" s="1135">
        <v>0</v>
      </c>
      <c r="K7" s="1136">
        <v>21</v>
      </c>
      <c r="L7" s="1137">
        <v>67</v>
      </c>
      <c r="M7" s="1137">
        <v>48</v>
      </c>
      <c r="N7" s="1137">
        <v>10</v>
      </c>
      <c r="O7" s="1138">
        <v>1</v>
      </c>
      <c r="P7" s="1156">
        <v>0</v>
      </c>
      <c r="Q7" s="1157">
        <v>21</v>
      </c>
      <c r="R7" s="1157">
        <v>65</v>
      </c>
      <c r="S7" s="1157">
        <v>44</v>
      </c>
      <c r="T7" s="1157">
        <v>5</v>
      </c>
      <c r="U7" s="1158">
        <v>0</v>
      </c>
      <c r="V7" s="2687">
        <v>0</v>
      </c>
      <c r="W7" s="1157">
        <v>4</v>
      </c>
      <c r="X7" s="1157">
        <v>23</v>
      </c>
      <c r="Y7" s="1157">
        <v>22</v>
      </c>
      <c r="Z7" s="1157">
        <v>5</v>
      </c>
      <c r="AA7" s="1157">
        <v>0</v>
      </c>
      <c r="AB7" s="2689">
        <f t="shared" ref="AB7:AB43" si="0">SUM(V7:AA7)</f>
        <v>54</v>
      </c>
      <c r="AC7" s="1156">
        <v>0</v>
      </c>
      <c r="AD7" s="1157">
        <v>3</v>
      </c>
      <c r="AE7" s="1157">
        <v>32</v>
      </c>
      <c r="AF7" s="1157">
        <v>24</v>
      </c>
      <c r="AG7" s="1157">
        <v>2</v>
      </c>
      <c r="AH7" s="1157">
        <v>0</v>
      </c>
      <c r="AI7" s="2689">
        <f t="shared" ref="AI7:AI43" si="1">SUM(AC7:AH7)</f>
        <v>61</v>
      </c>
      <c r="AJ7" s="1169">
        <v>0</v>
      </c>
      <c r="AK7" s="1159">
        <v>4</v>
      </c>
      <c r="AL7" s="1159">
        <v>17</v>
      </c>
      <c r="AM7" s="1159">
        <v>27</v>
      </c>
      <c r="AN7" s="1159">
        <v>4</v>
      </c>
      <c r="AO7" s="1157">
        <v>0</v>
      </c>
      <c r="AP7" s="2689">
        <f t="shared" ref="AP7:AP43" si="2">SUM(AJ7:AO7)</f>
        <v>52</v>
      </c>
      <c r="AQ7" s="1169">
        <v>12</v>
      </c>
      <c r="AR7" s="1159">
        <v>129</v>
      </c>
      <c r="AS7" s="1159">
        <v>196</v>
      </c>
      <c r="AT7" s="1159">
        <v>155</v>
      </c>
      <c r="AU7" s="1159">
        <v>88</v>
      </c>
      <c r="AV7" s="1159">
        <v>5</v>
      </c>
      <c r="AW7" s="2689">
        <v>585</v>
      </c>
      <c r="AX7" s="3153"/>
    </row>
    <row r="8" spans="2:58" ht="15" customHeight="1">
      <c r="B8" s="4093"/>
      <c r="C8" s="3254" t="s">
        <v>900</v>
      </c>
      <c r="D8" s="2716"/>
      <c r="E8" s="2717"/>
      <c r="F8" s="2718"/>
      <c r="G8" s="2718"/>
      <c r="H8" s="2718"/>
      <c r="I8" s="1153"/>
      <c r="J8" s="2675"/>
      <c r="K8" s="2676"/>
      <c r="L8" s="2677"/>
      <c r="M8" s="2677"/>
      <c r="N8" s="2677"/>
      <c r="O8" s="2682"/>
      <c r="P8" s="2694"/>
      <c r="Q8" s="2694"/>
      <c r="R8" s="2694"/>
      <c r="S8" s="2694"/>
      <c r="T8" s="2694"/>
      <c r="U8" s="2700"/>
      <c r="V8" s="2699"/>
      <c r="W8" s="2694"/>
      <c r="X8" s="2694"/>
      <c r="Y8" s="2694"/>
      <c r="Z8" s="2694"/>
      <c r="AA8" s="2694"/>
      <c r="AB8" s="2700"/>
      <c r="AC8" s="2699"/>
      <c r="AD8" s="2694"/>
      <c r="AE8" s="2694"/>
      <c r="AF8" s="2694"/>
      <c r="AG8" s="2694"/>
      <c r="AH8" s="2694"/>
      <c r="AI8" s="2700"/>
      <c r="AJ8" s="2699"/>
      <c r="AK8" s="2694"/>
      <c r="AL8" s="2694"/>
      <c r="AM8" s="2694"/>
      <c r="AN8" s="2694"/>
      <c r="AO8" s="2694"/>
      <c r="AP8" s="2700"/>
      <c r="AQ8" s="2997">
        <v>439</v>
      </c>
      <c r="AR8" s="2998">
        <v>745</v>
      </c>
      <c r="AS8" s="2998">
        <v>736</v>
      </c>
      <c r="AT8" s="2998">
        <v>726</v>
      </c>
      <c r="AU8" s="2998">
        <v>695</v>
      </c>
      <c r="AV8" s="2998">
        <v>123</v>
      </c>
      <c r="AW8" s="2999">
        <v>3464</v>
      </c>
      <c r="AX8" s="3153"/>
    </row>
    <row r="9" spans="2:58" ht="15" customHeight="1">
      <c r="B9" s="4094"/>
      <c r="C9" s="3255" t="s">
        <v>901</v>
      </c>
      <c r="D9" s="2710"/>
      <c r="E9" s="2711"/>
      <c r="F9" s="2712"/>
      <c r="G9" s="2712"/>
      <c r="H9" s="2712"/>
      <c r="I9" s="2713"/>
      <c r="J9" s="2714"/>
      <c r="K9" s="2711"/>
      <c r="L9" s="2715"/>
      <c r="M9" s="2715"/>
      <c r="N9" s="2715"/>
      <c r="O9" s="2713"/>
      <c r="P9" s="2698"/>
      <c r="Q9" s="2698"/>
      <c r="R9" s="2698"/>
      <c r="S9" s="2698"/>
      <c r="T9" s="2698"/>
      <c r="U9" s="2700"/>
      <c r="V9" s="2702"/>
      <c r="W9" s="2698"/>
      <c r="X9" s="2698"/>
      <c r="Y9" s="2698"/>
      <c r="Z9" s="2698"/>
      <c r="AA9" s="2698"/>
      <c r="AB9" s="2701"/>
      <c r="AC9" s="2702"/>
      <c r="AD9" s="2698"/>
      <c r="AE9" s="2698"/>
      <c r="AF9" s="2698"/>
      <c r="AG9" s="2698"/>
      <c r="AH9" s="2698"/>
      <c r="AI9" s="2701"/>
      <c r="AJ9" s="2702"/>
      <c r="AK9" s="2698"/>
      <c r="AL9" s="2698"/>
      <c r="AM9" s="2698"/>
      <c r="AN9" s="2698"/>
      <c r="AO9" s="2698"/>
      <c r="AP9" s="2701"/>
      <c r="AQ9" s="3000">
        <v>292</v>
      </c>
      <c r="AR9" s="3001">
        <v>390</v>
      </c>
      <c r="AS9" s="3001">
        <v>332</v>
      </c>
      <c r="AT9" s="3001">
        <v>286</v>
      </c>
      <c r="AU9" s="3001">
        <v>223</v>
      </c>
      <c r="AV9" s="3001">
        <v>19</v>
      </c>
      <c r="AW9" s="3002">
        <v>1542</v>
      </c>
      <c r="AX9" s="3153"/>
    </row>
    <row r="10" spans="2:58" ht="15" customHeight="1">
      <c r="B10" s="4095" t="s">
        <v>274</v>
      </c>
      <c r="C10" s="3256" t="s">
        <v>898</v>
      </c>
      <c r="D10" s="2719">
        <v>75</v>
      </c>
      <c r="E10" s="1125">
        <v>131</v>
      </c>
      <c r="F10" s="1139">
        <v>141</v>
      </c>
      <c r="G10" s="1139">
        <v>187</v>
      </c>
      <c r="H10" s="1139">
        <v>142</v>
      </c>
      <c r="I10" s="1144">
        <v>15</v>
      </c>
      <c r="J10" s="1124">
        <v>79</v>
      </c>
      <c r="K10" s="1125">
        <v>123</v>
      </c>
      <c r="L10" s="1139">
        <v>135</v>
      </c>
      <c r="M10" s="1139">
        <v>193</v>
      </c>
      <c r="N10" s="1139">
        <v>146</v>
      </c>
      <c r="O10" s="1144">
        <v>17</v>
      </c>
      <c r="P10" s="2683">
        <v>67</v>
      </c>
      <c r="Q10" s="2683">
        <v>96</v>
      </c>
      <c r="R10" s="2683">
        <v>123</v>
      </c>
      <c r="S10" s="2684">
        <v>158</v>
      </c>
      <c r="T10" s="2683">
        <v>116</v>
      </c>
      <c r="U10" s="2727">
        <v>12</v>
      </c>
      <c r="V10" s="2725">
        <v>53</v>
      </c>
      <c r="W10" s="2683">
        <v>90</v>
      </c>
      <c r="X10" s="2683">
        <v>109</v>
      </c>
      <c r="Y10" s="2683">
        <v>152</v>
      </c>
      <c r="Z10" s="2683">
        <v>115</v>
      </c>
      <c r="AA10" s="2683">
        <v>18</v>
      </c>
      <c r="AB10" s="2732">
        <f t="shared" si="0"/>
        <v>537</v>
      </c>
      <c r="AC10" s="2725">
        <v>95</v>
      </c>
      <c r="AD10" s="2683">
        <v>134</v>
      </c>
      <c r="AE10" s="2683">
        <v>142</v>
      </c>
      <c r="AF10" s="2683">
        <v>187</v>
      </c>
      <c r="AG10" s="2683">
        <v>163</v>
      </c>
      <c r="AH10" s="2683">
        <v>28</v>
      </c>
      <c r="AI10" s="2732">
        <f t="shared" si="1"/>
        <v>749</v>
      </c>
      <c r="AJ10" s="2734">
        <v>142</v>
      </c>
      <c r="AK10" s="2690">
        <v>151</v>
      </c>
      <c r="AL10" s="2690">
        <v>156</v>
      </c>
      <c r="AM10" s="2690">
        <v>204</v>
      </c>
      <c r="AN10" s="2690">
        <v>160</v>
      </c>
      <c r="AO10" s="2683">
        <v>36</v>
      </c>
      <c r="AP10" s="2732">
        <f t="shared" si="2"/>
        <v>849</v>
      </c>
      <c r="AQ10" s="2734">
        <v>182</v>
      </c>
      <c r="AR10" s="2690">
        <v>182</v>
      </c>
      <c r="AS10" s="2690">
        <v>176</v>
      </c>
      <c r="AT10" s="2690">
        <v>218</v>
      </c>
      <c r="AU10" s="2690">
        <v>195</v>
      </c>
      <c r="AV10" s="2690">
        <v>43</v>
      </c>
      <c r="AW10" s="2732">
        <v>996</v>
      </c>
      <c r="AX10" s="3153"/>
    </row>
    <row r="11" spans="2:58" ht="15" customHeight="1">
      <c r="B11" s="4096"/>
      <c r="C11" s="3257" t="s">
        <v>899</v>
      </c>
      <c r="D11" s="1151">
        <v>0</v>
      </c>
      <c r="E11" s="1140">
        <v>4</v>
      </c>
      <c r="F11" s="1141">
        <v>13</v>
      </c>
      <c r="G11" s="1141">
        <v>11</v>
      </c>
      <c r="H11" s="1141">
        <v>4</v>
      </c>
      <c r="I11" s="1142">
        <v>0</v>
      </c>
      <c r="J11" s="1143">
        <v>1</v>
      </c>
      <c r="K11" s="1140">
        <v>2</v>
      </c>
      <c r="L11" s="1141">
        <v>11</v>
      </c>
      <c r="M11" s="1141">
        <v>15</v>
      </c>
      <c r="N11" s="1141">
        <v>4</v>
      </c>
      <c r="O11" s="1142">
        <v>0</v>
      </c>
      <c r="P11" s="2681">
        <v>0</v>
      </c>
      <c r="Q11" s="2681">
        <v>0</v>
      </c>
      <c r="R11" s="2681">
        <v>4</v>
      </c>
      <c r="S11" s="2685">
        <v>4</v>
      </c>
      <c r="T11" s="2681">
        <v>1</v>
      </c>
      <c r="U11" s="2730">
        <v>0</v>
      </c>
      <c r="V11" s="2726">
        <v>0</v>
      </c>
      <c r="W11" s="2681">
        <v>0</v>
      </c>
      <c r="X11" s="2681">
        <v>0</v>
      </c>
      <c r="Y11" s="2681">
        <v>6</v>
      </c>
      <c r="Z11" s="2681">
        <v>0</v>
      </c>
      <c r="AA11" s="2681">
        <v>0</v>
      </c>
      <c r="AB11" s="2733">
        <f t="shared" si="0"/>
        <v>6</v>
      </c>
      <c r="AC11" s="2726">
        <v>0</v>
      </c>
      <c r="AD11" s="2681">
        <v>0</v>
      </c>
      <c r="AE11" s="2681">
        <v>2</v>
      </c>
      <c r="AF11" s="2681">
        <v>7</v>
      </c>
      <c r="AG11" s="2681">
        <v>1</v>
      </c>
      <c r="AH11" s="2681">
        <v>0</v>
      </c>
      <c r="AI11" s="2733">
        <f t="shared" si="1"/>
        <v>10</v>
      </c>
      <c r="AJ11" s="2735">
        <v>0</v>
      </c>
      <c r="AK11" s="2688">
        <v>0</v>
      </c>
      <c r="AL11" s="2688">
        <v>3</v>
      </c>
      <c r="AM11" s="2688">
        <v>6</v>
      </c>
      <c r="AN11" s="2688">
        <v>1</v>
      </c>
      <c r="AO11" s="2681">
        <v>0</v>
      </c>
      <c r="AP11" s="2733">
        <f t="shared" si="2"/>
        <v>10</v>
      </c>
      <c r="AQ11" s="2735">
        <v>1</v>
      </c>
      <c r="AR11" s="2688">
        <v>22</v>
      </c>
      <c r="AS11" s="2688">
        <v>28</v>
      </c>
      <c r="AT11" s="2688">
        <v>30</v>
      </c>
      <c r="AU11" s="2688">
        <v>15</v>
      </c>
      <c r="AV11" s="2688">
        <v>1</v>
      </c>
      <c r="AW11" s="2733">
        <v>97</v>
      </c>
      <c r="AX11" s="3153"/>
    </row>
    <row r="12" spans="2:58" ht="15" customHeight="1">
      <c r="B12" s="4096"/>
      <c r="C12" s="3254" t="s">
        <v>900</v>
      </c>
      <c r="D12" s="2705"/>
      <c r="E12" s="1161"/>
      <c r="F12" s="2703"/>
      <c r="G12" s="2703"/>
      <c r="H12" s="2703"/>
      <c r="I12" s="2682"/>
      <c r="J12" s="2704"/>
      <c r="K12" s="1161"/>
      <c r="L12" s="2703"/>
      <c r="M12" s="2703"/>
      <c r="N12" s="2703"/>
      <c r="O12" s="2682"/>
      <c r="P12" s="2694"/>
      <c r="Q12" s="2694"/>
      <c r="R12" s="2694"/>
      <c r="S12" s="2724"/>
      <c r="T12" s="2695"/>
      <c r="U12" s="2729"/>
      <c r="V12" s="2699"/>
      <c r="W12" s="2694"/>
      <c r="X12" s="2694"/>
      <c r="Y12" s="2694"/>
      <c r="Z12" s="2694"/>
      <c r="AA12" s="2694"/>
      <c r="AB12" s="2700"/>
      <c r="AC12" s="2699"/>
      <c r="AD12" s="2694"/>
      <c r="AE12" s="2694"/>
      <c r="AF12" s="2694"/>
      <c r="AG12" s="2694"/>
      <c r="AH12" s="2694"/>
      <c r="AI12" s="2700"/>
      <c r="AJ12" s="2699"/>
      <c r="AK12" s="2694"/>
      <c r="AL12" s="2694"/>
      <c r="AM12" s="2694"/>
      <c r="AN12" s="2694"/>
      <c r="AO12" s="2694"/>
      <c r="AP12" s="2700"/>
      <c r="AQ12" s="3003">
        <v>86</v>
      </c>
      <c r="AR12" s="3004">
        <v>99</v>
      </c>
      <c r="AS12" s="3004">
        <v>111</v>
      </c>
      <c r="AT12" s="3004">
        <v>130</v>
      </c>
      <c r="AU12" s="3004">
        <v>123</v>
      </c>
      <c r="AV12" s="3004">
        <v>33</v>
      </c>
      <c r="AW12" s="2999">
        <v>582</v>
      </c>
      <c r="AX12" s="3153"/>
    </row>
    <row r="13" spans="2:58" ht="15" customHeight="1">
      <c r="B13" s="4097"/>
      <c r="C13" s="3255" t="s">
        <v>901</v>
      </c>
      <c r="D13" s="2720"/>
      <c r="E13" s="2721"/>
      <c r="F13" s="2712"/>
      <c r="G13" s="2712"/>
      <c r="H13" s="2712"/>
      <c r="I13" s="2713"/>
      <c r="J13" s="2722"/>
      <c r="K13" s="2721"/>
      <c r="L13" s="2712"/>
      <c r="M13" s="2712"/>
      <c r="N13" s="2712"/>
      <c r="O13" s="2723"/>
      <c r="P13" s="2698"/>
      <c r="Q13" s="2698"/>
      <c r="R13" s="2698"/>
      <c r="S13" s="2698"/>
      <c r="T13" s="2706"/>
      <c r="U13" s="2707"/>
      <c r="V13" s="2698"/>
      <c r="W13" s="2698"/>
      <c r="X13" s="2698"/>
      <c r="Y13" s="2698"/>
      <c r="Z13" s="2698"/>
      <c r="AA13" s="2731"/>
      <c r="AB13" s="2701"/>
      <c r="AC13" s="2702"/>
      <c r="AD13" s="2698"/>
      <c r="AE13" s="2698"/>
      <c r="AF13" s="2698"/>
      <c r="AG13" s="2698"/>
      <c r="AH13" s="2702"/>
      <c r="AI13" s="2701"/>
      <c r="AJ13" s="2702"/>
      <c r="AK13" s="2698"/>
      <c r="AL13" s="2698"/>
      <c r="AM13" s="2698"/>
      <c r="AN13" s="2702"/>
      <c r="AO13" s="2702"/>
      <c r="AP13" s="2728"/>
      <c r="AQ13" s="2955">
        <v>96</v>
      </c>
      <c r="AR13" s="3005">
        <v>83</v>
      </c>
      <c r="AS13" s="3005">
        <v>65</v>
      </c>
      <c r="AT13" s="3005">
        <v>88</v>
      </c>
      <c r="AU13" s="3005">
        <v>72</v>
      </c>
      <c r="AV13" s="3005">
        <v>10</v>
      </c>
      <c r="AW13" s="3006">
        <v>414</v>
      </c>
      <c r="AX13" s="3153"/>
    </row>
    <row r="14" spans="2:58" ht="15" customHeight="1">
      <c r="B14" s="4098" t="s">
        <v>278</v>
      </c>
      <c r="C14" s="3181" t="s">
        <v>898</v>
      </c>
      <c r="D14" s="3249">
        <v>321</v>
      </c>
      <c r="E14" s="2737">
        <v>472</v>
      </c>
      <c r="F14" s="2703">
        <v>459</v>
      </c>
      <c r="G14" s="2703">
        <v>532</v>
      </c>
      <c r="H14" s="2703">
        <v>321</v>
      </c>
      <c r="I14" s="2682">
        <v>35</v>
      </c>
      <c r="J14" s="2738">
        <v>245</v>
      </c>
      <c r="K14" s="2737">
        <v>488</v>
      </c>
      <c r="L14" s="2703">
        <v>487</v>
      </c>
      <c r="M14" s="2703">
        <v>571</v>
      </c>
      <c r="N14" s="2703">
        <v>387</v>
      </c>
      <c r="O14" s="1162">
        <v>48</v>
      </c>
      <c r="P14" s="1163">
        <v>154</v>
      </c>
      <c r="Q14" s="1164">
        <v>352</v>
      </c>
      <c r="R14" s="1164">
        <v>366</v>
      </c>
      <c r="S14" s="1164">
        <v>416</v>
      </c>
      <c r="T14" s="1164">
        <v>245</v>
      </c>
      <c r="U14" s="1165">
        <v>20</v>
      </c>
      <c r="V14" s="1320">
        <v>131</v>
      </c>
      <c r="W14" s="1164">
        <v>367</v>
      </c>
      <c r="X14" s="1164">
        <v>391</v>
      </c>
      <c r="Y14" s="1164">
        <v>416</v>
      </c>
      <c r="Z14" s="1164">
        <v>296</v>
      </c>
      <c r="AA14" s="1164">
        <v>39</v>
      </c>
      <c r="AB14" s="2678">
        <f t="shared" si="0"/>
        <v>1640</v>
      </c>
      <c r="AC14" s="1163">
        <v>184</v>
      </c>
      <c r="AD14" s="1164">
        <v>447</v>
      </c>
      <c r="AE14" s="1164">
        <v>494</v>
      </c>
      <c r="AF14" s="1164">
        <v>465</v>
      </c>
      <c r="AG14" s="1164">
        <v>372</v>
      </c>
      <c r="AH14" s="1164">
        <v>53</v>
      </c>
      <c r="AI14" s="2678">
        <f t="shared" si="1"/>
        <v>2015</v>
      </c>
      <c r="AJ14" s="2679">
        <v>265</v>
      </c>
      <c r="AK14" s="1166">
        <v>500</v>
      </c>
      <c r="AL14" s="1166">
        <v>571</v>
      </c>
      <c r="AM14" s="1166">
        <v>483</v>
      </c>
      <c r="AN14" s="1166">
        <v>418</v>
      </c>
      <c r="AO14" s="1164">
        <v>56</v>
      </c>
      <c r="AP14" s="2678">
        <f t="shared" si="2"/>
        <v>2293</v>
      </c>
      <c r="AQ14" s="2679">
        <v>381</v>
      </c>
      <c r="AR14" s="1166">
        <v>629</v>
      </c>
      <c r="AS14" s="1166">
        <v>681</v>
      </c>
      <c r="AT14" s="1166">
        <v>540</v>
      </c>
      <c r="AU14" s="1166">
        <v>497</v>
      </c>
      <c r="AV14" s="1166">
        <v>94</v>
      </c>
      <c r="AW14" s="2678">
        <v>2822</v>
      </c>
      <c r="AX14" s="3153"/>
    </row>
    <row r="15" spans="2:58" ht="15" customHeight="1">
      <c r="B15" s="4099"/>
      <c r="C15" s="3257" t="s">
        <v>899</v>
      </c>
      <c r="D15" s="3250">
        <v>0</v>
      </c>
      <c r="E15" s="2736">
        <v>8</v>
      </c>
      <c r="F15" s="2736">
        <v>10</v>
      </c>
      <c r="G15" s="2736">
        <v>16</v>
      </c>
      <c r="H15" s="2736">
        <v>3</v>
      </c>
      <c r="I15" s="2736">
        <v>0</v>
      </c>
      <c r="J15" s="2736">
        <v>0</v>
      </c>
      <c r="K15" s="2736">
        <v>6</v>
      </c>
      <c r="L15" s="2736">
        <v>14</v>
      </c>
      <c r="M15" s="2736">
        <v>17</v>
      </c>
      <c r="N15" s="2736">
        <v>4</v>
      </c>
      <c r="O15" s="2736">
        <v>0</v>
      </c>
      <c r="P15" s="2681">
        <v>0</v>
      </c>
      <c r="Q15" s="2681">
        <v>5</v>
      </c>
      <c r="R15" s="2681">
        <v>13</v>
      </c>
      <c r="S15" s="2681">
        <v>15</v>
      </c>
      <c r="T15" s="2681">
        <v>2</v>
      </c>
      <c r="U15" s="2744">
        <v>0</v>
      </c>
      <c r="V15" s="2726">
        <v>0</v>
      </c>
      <c r="W15" s="2681">
        <v>0</v>
      </c>
      <c r="X15" s="2681">
        <v>1</v>
      </c>
      <c r="Y15" s="2681">
        <v>9</v>
      </c>
      <c r="Z15" s="2681">
        <v>2</v>
      </c>
      <c r="AA15" s="2681">
        <v>0</v>
      </c>
      <c r="AB15" s="2733">
        <f t="shared" si="0"/>
        <v>12</v>
      </c>
      <c r="AC15" s="2726">
        <v>0</v>
      </c>
      <c r="AD15" s="2681">
        <v>0</v>
      </c>
      <c r="AE15" s="2681">
        <v>5</v>
      </c>
      <c r="AF15" s="2681">
        <v>12</v>
      </c>
      <c r="AG15" s="2681">
        <v>1</v>
      </c>
      <c r="AH15" s="2681">
        <v>0</v>
      </c>
      <c r="AI15" s="2733">
        <f t="shared" si="1"/>
        <v>18</v>
      </c>
      <c r="AJ15" s="2735">
        <v>0</v>
      </c>
      <c r="AK15" s="2688">
        <v>1</v>
      </c>
      <c r="AL15" s="2688">
        <v>0</v>
      </c>
      <c r="AM15" s="2688">
        <v>5</v>
      </c>
      <c r="AN15" s="2688">
        <v>2</v>
      </c>
      <c r="AO15" s="2681">
        <v>0</v>
      </c>
      <c r="AP15" s="2733">
        <f t="shared" si="2"/>
        <v>8</v>
      </c>
      <c r="AQ15" s="2735">
        <v>0</v>
      </c>
      <c r="AR15" s="2688">
        <v>41</v>
      </c>
      <c r="AS15" s="2688">
        <v>85</v>
      </c>
      <c r="AT15" s="2688">
        <v>74</v>
      </c>
      <c r="AU15" s="2688">
        <v>36</v>
      </c>
      <c r="AV15" s="2688">
        <v>0</v>
      </c>
      <c r="AW15" s="2733">
        <v>236</v>
      </c>
      <c r="AX15" s="3153"/>
      <c r="BB15" s="1569"/>
      <c r="BC15" s="1569"/>
      <c r="BD15" s="1569"/>
      <c r="BE15" s="1569"/>
      <c r="BF15" s="1569"/>
    </row>
    <row r="16" spans="2:58" ht="15" customHeight="1">
      <c r="B16" s="4100"/>
      <c r="C16" s="3258" t="s">
        <v>900</v>
      </c>
      <c r="D16" s="2705"/>
      <c r="E16" s="1161"/>
      <c r="F16" s="2703"/>
      <c r="G16" s="2703"/>
      <c r="H16" s="2703"/>
      <c r="I16" s="2682"/>
      <c r="J16" s="2704"/>
      <c r="K16" s="1161"/>
      <c r="L16" s="2703"/>
      <c r="M16" s="2703"/>
      <c r="N16" s="2703"/>
      <c r="O16" s="2682"/>
      <c r="P16" s="2739"/>
      <c r="Q16" s="2739"/>
      <c r="R16" s="2739"/>
      <c r="S16" s="2740"/>
      <c r="T16" s="2741"/>
      <c r="U16" s="2742"/>
      <c r="V16" s="2743"/>
      <c r="W16" s="2739"/>
      <c r="X16" s="2739"/>
      <c r="Y16" s="2739"/>
      <c r="Z16" s="2739"/>
      <c r="AA16" s="2739"/>
      <c r="AB16" s="2708"/>
      <c r="AC16" s="2743"/>
      <c r="AD16" s="2739"/>
      <c r="AE16" s="2739"/>
      <c r="AF16" s="2739"/>
      <c r="AG16" s="2739"/>
      <c r="AH16" s="2739"/>
      <c r="AI16" s="2708"/>
      <c r="AJ16" s="2743"/>
      <c r="AK16" s="2739"/>
      <c r="AL16" s="2739"/>
      <c r="AM16" s="2739"/>
      <c r="AN16" s="2739"/>
      <c r="AO16" s="2739"/>
      <c r="AP16" s="2708"/>
      <c r="AQ16" s="3007">
        <v>223</v>
      </c>
      <c r="AR16" s="3008">
        <v>341</v>
      </c>
      <c r="AS16" s="3008">
        <v>381</v>
      </c>
      <c r="AT16" s="3008">
        <v>326</v>
      </c>
      <c r="AU16" s="3008">
        <v>310</v>
      </c>
      <c r="AV16" s="3008">
        <v>76</v>
      </c>
      <c r="AW16" s="3009">
        <v>1657</v>
      </c>
      <c r="AX16" s="3153"/>
      <c r="BB16" s="1569"/>
      <c r="BC16" s="1569"/>
      <c r="BD16" s="1569"/>
      <c r="BE16" s="1569"/>
      <c r="BF16" s="1569"/>
    </row>
    <row r="17" spans="2:58" ht="15" customHeight="1">
      <c r="B17" s="4101"/>
      <c r="C17" s="3255" t="s">
        <v>901</v>
      </c>
      <c r="D17" s="2720"/>
      <c r="E17" s="2721"/>
      <c r="F17" s="2712"/>
      <c r="G17" s="2712"/>
      <c r="H17" s="2712"/>
      <c r="I17" s="2713"/>
      <c r="J17" s="2722"/>
      <c r="K17" s="2721"/>
      <c r="L17" s="2712"/>
      <c r="M17" s="2712"/>
      <c r="N17" s="2712"/>
      <c r="O17" s="2723"/>
      <c r="P17" s="2698"/>
      <c r="Q17" s="2698"/>
      <c r="R17" s="2698"/>
      <c r="S17" s="2698"/>
      <c r="T17" s="2706"/>
      <c r="U17" s="2707"/>
      <c r="V17" s="2698"/>
      <c r="W17" s="2698"/>
      <c r="X17" s="2698"/>
      <c r="Y17" s="2698"/>
      <c r="Z17" s="2698"/>
      <c r="AA17" s="2731"/>
      <c r="AB17" s="2701"/>
      <c r="AC17" s="2702"/>
      <c r="AD17" s="2698"/>
      <c r="AE17" s="2698"/>
      <c r="AF17" s="2698"/>
      <c r="AG17" s="2698"/>
      <c r="AH17" s="2702"/>
      <c r="AI17" s="2701"/>
      <c r="AJ17" s="2702"/>
      <c r="AK17" s="2698"/>
      <c r="AL17" s="2698"/>
      <c r="AM17" s="2698"/>
      <c r="AN17" s="2702"/>
      <c r="AO17" s="2702"/>
      <c r="AP17" s="2728"/>
      <c r="AQ17" s="2955">
        <v>158</v>
      </c>
      <c r="AR17" s="3005">
        <v>288</v>
      </c>
      <c r="AS17" s="3005">
        <v>300</v>
      </c>
      <c r="AT17" s="3005">
        <v>214</v>
      </c>
      <c r="AU17" s="3005">
        <v>187</v>
      </c>
      <c r="AV17" s="3005">
        <v>18</v>
      </c>
      <c r="AW17" s="3006">
        <v>1165</v>
      </c>
      <c r="AX17" s="3153"/>
      <c r="BB17" s="1569"/>
      <c r="BC17" s="1569"/>
      <c r="BD17" s="1569"/>
      <c r="BE17" s="1569"/>
      <c r="BF17" s="1569"/>
    </row>
    <row r="18" spans="2:58" ht="15" customHeight="1">
      <c r="B18" s="4103" t="s">
        <v>176</v>
      </c>
      <c r="C18" s="3181" t="s">
        <v>898</v>
      </c>
      <c r="D18" s="3249">
        <v>321</v>
      </c>
      <c r="E18" s="2737">
        <v>472</v>
      </c>
      <c r="F18" s="2703">
        <v>459</v>
      </c>
      <c r="G18" s="2703">
        <v>532</v>
      </c>
      <c r="H18" s="2703">
        <v>321</v>
      </c>
      <c r="I18" s="2682">
        <v>35</v>
      </c>
      <c r="J18" s="2738">
        <v>245</v>
      </c>
      <c r="K18" s="2737">
        <v>488</v>
      </c>
      <c r="L18" s="2703">
        <v>487</v>
      </c>
      <c r="M18" s="2703">
        <v>571</v>
      </c>
      <c r="N18" s="2703">
        <v>387</v>
      </c>
      <c r="O18" s="1162">
        <v>48</v>
      </c>
      <c r="P18" s="1163"/>
      <c r="Q18" s="1164"/>
      <c r="R18" s="1164"/>
      <c r="S18" s="1164"/>
      <c r="T18" s="1164"/>
      <c r="U18" s="1165"/>
      <c r="V18" s="1320"/>
      <c r="W18" s="1164"/>
      <c r="X18" s="1164"/>
      <c r="Y18" s="1164"/>
      <c r="Z18" s="1164"/>
      <c r="AA18" s="1164"/>
      <c r="AB18" s="2678"/>
      <c r="AC18" s="1163"/>
      <c r="AD18" s="1164"/>
      <c r="AE18" s="1164"/>
      <c r="AF18" s="1164"/>
      <c r="AG18" s="1164"/>
      <c r="AH18" s="1164"/>
      <c r="AI18" s="2678"/>
      <c r="AJ18" s="2679"/>
      <c r="AK18" s="1166"/>
      <c r="AL18" s="1166"/>
      <c r="AM18" s="1166"/>
      <c r="AN18" s="1166"/>
      <c r="AO18" s="1164"/>
      <c r="AP18" s="2678"/>
      <c r="AQ18" s="2679">
        <v>153</v>
      </c>
      <c r="AR18" s="1166">
        <v>253</v>
      </c>
      <c r="AS18" s="1166">
        <v>203</v>
      </c>
      <c r="AT18" s="1166">
        <v>105</v>
      </c>
      <c r="AU18" s="1166">
        <v>46</v>
      </c>
      <c r="AV18" s="1166">
        <v>6</v>
      </c>
      <c r="AW18" s="2678">
        <v>766</v>
      </c>
      <c r="AX18" s="3153"/>
      <c r="BB18" s="1569"/>
      <c r="BC18" s="1569"/>
      <c r="BD18" s="1569"/>
      <c r="BE18" s="1569"/>
      <c r="BF18" s="1569"/>
    </row>
    <row r="19" spans="2:58" ht="15" customHeight="1">
      <c r="B19" s="4104"/>
      <c r="C19" s="3257" t="s">
        <v>899</v>
      </c>
      <c r="D19" s="3250">
        <v>0</v>
      </c>
      <c r="E19" s="2736">
        <v>8</v>
      </c>
      <c r="F19" s="2736">
        <v>10</v>
      </c>
      <c r="G19" s="2736">
        <v>16</v>
      </c>
      <c r="H19" s="2736">
        <v>3</v>
      </c>
      <c r="I19" s="2736">
        <v>0</v>
      </c>
      <c r="J19" s="2736">
        <v>0</v>
      </c>
      <c r="K19" s="2736">
        <v>6</v>
      </c>
      <c r="L19" s="2736">
        <v>14</v>
      </c>
      <c r="M19" s="2736">
        <v>17</v>
      </c>
      <c r="N19" s="2736">
        <v>4</v>
      </c>
      <c r="O19" s="2736">
        <v>0</v>
      </c>
      <c r="P19" s="2681"/>
      <c r="Q19" s="2681"/>
      <c r="R19" s="2681"/>
      <c r="S19" s="2681"/>
      <c r="T19" s="2681"/>
      <c r="U19" s="2744"/>
      <c r="V19" s="2726"/>
      <c r="W19" s="2681"/>
      <c r="X19" s="2681"/>
      <c r="Y19" s="2681"/>
      <c r="Z19" s="2681"/>
      <c r="AA19" s="2681"/>
      <c r="AB19" s="2733"/>
      <c r="AC19" s="2726"/>
      <c r="AD19" s="2681"/>
      <c r="AE19" s="2681"/>
      <c r="AF19" s="2681"/>
      <c r="AG19" s="2681"/>
      <c r="AH19" s="2681"/>
      <c r="AI19" s="2733"/>
      <c r="AJ19" s="2735"/>
      <c r="AK19" s="2688"/>
      <c r="AL19" s="2688"/>
      <c r="AM19" s="2688"/>
      <c r="AN19" s="2688"/>
      <c r="AO19" s="2681"/>
      <c r="AP19" s="2733"/>
      <c r="AQ19" s="2735">
        <v>1</v>
      </c>
      <c r="AR19" s="2688">
        <v>40</v>
      </c>
      <c r="AS19" s="2688">
        <v>68</v>
      </c>
      <c r="AT19" s="2688">
        <v>27</v>
      </c>
      <c r="AU19" s="2688">
        <v>5</v>
      </c>
      <c r="AV19" s="2688">
        <v>0</v>
      </c>
      <c r="AW19" s="2733">
        <v>141</v>
      </c>
      <c r="AX19" s="3153"/>
      <c r="BB19" s="1569"/>
      <c r="BC19" s="1569"/>
      <c r="BD19" s="1569"/>
      <c r="BE19" s="1569"/>
      <c r="BF19" s="1569"/>
    </row>
    <row r="20" spans="2:58" ht="15" customHeight="1">
      <c r="B20" s="4105"/>
      <c r="C20" s="3258" t="s">
        <v>900</v>
      </c>
      <c r="D20" s="2705"/>
      <c r="E20" s="1161"/>
      <c r="F20" s="2703"/>
      <c r="G20" s="2703"/>
      <c r="H20" s="2703"/>
      <c r="I20" s="2682"/>
      <c r="J20" s="2704"/>
      <c r="K20" s="1161"/>
      <c r="L20" s="2703"/>
      <c r="M20" s="2703"/>
      <c r="N20" s="2703"/>
      <c r="O20" s="2682"/>
      <c r="P20" s="2739"/>
      <c r="Q20" s="2739"/>
      <c r="R20" s="2739"/>
      <c r="S20" s="2740"/>
      <c r="T20" s="2741"/>
      <c r="U20" s="2742"/>
      <c r="V20" s="2743"/>
      <c r="W20" s="2739"/>
      <c r="X20" s="2739"/>
      <c r="Y20" s="2739"/>
      <c r="Z20" s="2739"/>
      <c r="AA20" s="2739"/>
      <c r="AB20" s="2708"/>
      <c r="AC20" s="2743"/>
      <c r="AD20" s="2739"/>
      <c r="AE20" s="2739"/>
      <c r="AF20" s="2739"/>
      <c r="AG20" s="2739"/>
      <c r="AH20" s="2739"/>
      <c r="AI20" s="2708"/>
      <c r="AJ20" s="2743"/>
      <c r="AK20" s="2739"/>
      <c r="AL20" s="2739"/>
      <c r="AM20" s="2739"/>
      <c r="AN20" s="2739"/>
      <c r="AO20" s="2739"/>
      <c r="AP20" s="2708"/>
      <c r="AQ20" s="3007">
        <v>57</v>
      </c>
      <c r="AR20" s="3008">
        <v>138</v>
      </c>
      <c r="AS20" s="3008">
        <v>108</v>
      </c>
      <c r="AT20" s="3008">
        <v>44</v>
      </c>
      <c r="AU20" s="3008">
        <v>15</v>
      </c>
      <c r="AV20" s="3008">
        <v>2</v>
      </c>
      <c r="AW20" s="3009">
        <v>364</v>
      </c>
      <c r="AX20" s="3153"/>
      <c r="BB20" s="1569"/>
      <c r="BC20" s="1569"/>
      <c r="BD20" s="1569"/>
      <c r="BE20" s="1569"/>
      <c r="BF20" s="1569"/>
    </row>
    <row r="21" spans="2:58" ht="15" customHeight="1">
      <c r="B21" s="4106"/>
      <c r="C21" s="3255" t="s">
        <v>901</v>
      </c>
      <c r="D21" s="2720"/>
      <c r="E21" s="2721"/>
      <c r="F21" s="2712"/>
      <c r="G21" s="2712"/>
      <c r="H21" s="2712"/>
      <c r="I21" s="2713"/>
      <c r="J21" s="2722"/>
      <c r="K21" s="2721"/>
      <c r="L21" s="2712"/>
      <c r="M21" s="2712"/>
      <c r="N21" s="2712"/>
      <c r="O21" s="2723"/>
      <c r="P21" s="2698"/>
      <c r="Q21" s="2698"/>
      <c r="R21" s="2698"/>
      <c r="S21" s="2698"/>
      <c r="T21" s="2706"/>
      <c r="U21" s="2707"/>
      <c r="V21" s="2698"/>
      <c r="W21" s="2698"/>
      <c r="X21" s="2698"/>
      <c r="Y21" s="2698"/>
      <c r="Z21" s="2698"/>
      <c r="AA21" s="2731"/>
      <c r="AB21" s="2701"/>
      <c r="AC21" s="2702"/>
      <c r="AD21" s="2698"/>
      <c r="AE21" s="2698"/>
      <c r="AF21" s="2698"/>
      <c r="AG21" s="2698"/>
      <c r="AH21" s="2702"/>
      <c r="AI21" s="2701"/>
      <c r="AJ21" s="2702"/>
      <c r="AK21" s="2698"/>
      <c r="AL21" s="2698"/>
      <c r="AM21" s="2698"/>
      <c r="AN21" s="2702"/>
      <c r="AO21" s="2702"/>
      <c r="AP21" s="2728"/>
      <c r="AQ21" s="2955">
        <v>96</v>
      </c>
      <c r="AR21" s="3005">
        <v>115</v>
      </c>
      <c r="AS21" s="3005">
        <v>95</v>
      </c>
      <c r="AT21" s="3005">
        <v>61</v>
      </c>
      <c r="AU21" s="3005">
        <v>31</v>
      </c>
      <c r="AV21" s="3005">
        <v>4</v>
      </c>
      <c r="AW21" s="3006">
        <v>402</v>
      </c>
      <c r="AX21" s="3153"/>
      <c r="BB21" s="1569"/>
      <c r="BC21" s="1569"/>
      <c r="BD21" s="1569"/>
      <c r="BE21" s="1569"/>
      <c r="BF21" s="1569"/>
    </row>
    <row r="22" spans="2:58" ht="15" customHeight="1">
      <c r="B22" s="4102" t="s">
        <v>177</v>
      </c>
      <c r="C22" s="3259" t="s">
        <v>898</v>
      </c>
      <c r="D22" s="1145">
        <v>1</v>
      </c>
      <c r="E22" s="1146">
        <v>2</v>
      </c>
      <c r="F22" s="1146">
        <v>1</v>
      </c>
      <c r="G22" s="1146">
        <v>1</v>
      </c>
      <c r="H22" s="1146">
        <v>1</v>
      </c>
      <c r="I22" s="1123">
        <v>0</v>
      </c>
      <c r="J22" s="1148">
        <v>0</v>
      </c>
      <c r="K22" s="1149">
        <v>6</v>
      </c>
      <c r="L22" s="1149">
        <v>1</v>
      </c>
      <c r="M22" s="1149">
        <v>2</v>
      </c>
      <c r="N22" s="1149">
        <v>1</v>
      </c>
      <c r="O22" s="1127">
        <v>0</v>
      </c>
      <c r="P22" s="1128">
        <v>0</v>
      </c>
      <c r="Q22" s="1129">
        <v>4</v>
      </c>
      <c r="R22" s="1129">
        <v>1</v>
      </c>
      <c r="S22" s="1129">
        <v>3</v>
      </c>
      <c r="T22" s="1129">
        <v>0</v>
      </c>
      <c r="U22" s="1130">
        <v>0</v>
      </c>
      <c r="V22" s="1319">
        <v>1</v>
      </c>
      <c r="W22" s="1129">
        <v>3</v>
      </c>
      <c r="X22" s="1129">
        <v>2</v>
      </c>
      <c r="Y22" s="1129">
        <v>2</v>
      </c>
      <c r="Z22" s="1129">
        <v>1</v>
      </c>
      <c r="AA22" s="1129">
        <v>0</v>
      </c>
      <c r="AB22" s="1133">
        <f t="shared" si="0"/>
        <v>9</v>
      </c>
      <c r="AC22" s="1128">
        <v>0</v>
      </c>
      <c r="AD22" s="1129">
        <v>3</v>
      </c>
      <c r="AE22" s="1129">
        <v>3</v>
      </c>
      <c r="AF22" s="1129">
        <v>1</v>
      </c>
      <c r="AG22" s="1129">
        <v>0</v>
      </c>
      <c r="AH22" s="1129">
        <v>0</v>
      </c>
      <c r="AI22" s="1133">
        <f t="shared" si="1"/>
        <v>7</v>
      </c>
      <c r="AJ22" s="1131">
        <v>0</v>
      </c>
      <c r="AK22" s="1132">
        <v>3</v>
      </c>
      <c r="AL22" s="1132">
        <v>4</v>
      </c>
      <c r="AM22" s="1132">
        <v>2</v>
      </c>
      <c r="AN22" s="1132">
        <v>1</v>
      </c>
      <c r="AO22" s="1129">
        <v>0</v>
      </c>
      <c r="AP22" s="1133">
        <f t="shared" si="2"/>
        <v>10</v>
      </c>
      <c r="AQ22" s="1131">
        <v>0</v>
      </c>
      <c r="AR22" s="1132">
        <v>6</v>
      </c>
      <c r="AS22" s="1132">
        <v>4</v>
      </c>
      <c r="AT22" s="1132">
        <v>1</v>
      </c>
      <c r="AU22" s="1132">
        <v>0</v>
      </c>
      <c r="AV22" s="1132">
        <v>0</v>
      </c>
      <c r="AW22" s="1133">
        <v>11</v>
      </c>
      <c r="AX22" s="3153"/>
      <c r="BB22" s="1569"/>
      <c r="BC22" s="1569"/>
      <c r="BD22" s="3219"/>
      <c r="BE22" s="1569"/>
      <c r="BF22" s="1569"/>
    </row>
    <row r="23" spans="2:58" ht="15" customHeight="1">
      <c r="B23" s="4100"/>
      <c r="C23" s="3180" t="s">
        <v>899</v>
      </c>
      <c r="D23" s="1145">
        <v>0</v>
      </c>
      <c r="E23" s="1146">
        <v>2</v>
      </c>
      <c r="F23" s="1146">
        <v>1</v>
      </c>
      <c r="G23" s="1146">
        <v>1</v>
      </c>
      <c r="H23" s="1146">
        <v>1</v>
      </c>
      <c r="I23" s="1123">
        <v>0</v>
      </c>
      <c r="J23" s="1147">
        <v>0</v>
      </c>
      <c r="K23" s="1140">
        <v>4</v>
      </c>
      <c r="L23" s="1140">
        <v>0</v>
      </c>
      <c r="M23" s="1140">
        <v>2</v>
      </c>
      <c r="N23" s="1140">
        <v>1</v>
      </c>
      <c r="O23" s="1138">
        <v>0</v>
      </c>
      <c r="P23" s="1156">
        <v>0</v>
      </c>
      <c r="Q23" s="1157">
        <v>3</v>
      </c>
      <c r="R23" s="1157">
        <v>0</v>
      </c>
      <c r="S23" s="1157">
        <v>2</v>
      </c>
      <c r="T23" s="1157">
        <v>0</v>
      </c>
      <c r="U23" s="1158">
        <v>0</v>
      </c>
      <c r="V23" s="2687">
        <v>0</v>
      </c>
      <c r="W23" s="1157">
        <v>1</v>
      </c>
      <c r="X23" s="1157">
        <v>1</v>
      </c>
      <c r="Y23" s="1156">
        <v>1</v>
      </c>
      <c r="Z23" s="1157">
        <v>1</v>
      </c>
      <c r="AA23" s="1157">
        <v>0</v>
      </c>
      <c r="AB23" s="2689">
        <f t="shared" si="0"/>
        <v>4</v>
      </c>
      <c r="AC23" s="1156">
        <v>0</v>
      </c>
      <c r="AD23" s="1157">
        <v>0</v>
      </c>
      <c r="AE23" s="1157">
        <v>0</v>
      </c>
      <c r="AF23" s="1157">
        <v>0</v>
      </c>
      <c r="AG23" s="1157">
        <v>0</v>
      </c>
      <c r="AH23" s="1157">
        <v>0</v>
      </c>
      <c r="AI23" s="2689">
        <f t="shared" si="1"/>
        <v>0</v>
      </c>
      <c r="AJ23" s="1169">
        <v>0</v>
      </c>
      <c r="AK23" s="1159">
        <v>0</v>
      </c>
      <c r="AL23" s="1159">
        <v>3</v>
      </c>
      <c r="AM23" s="1159">
        <v>1</v>
      </c>
      <c r="AN23" s="1159">
        <v>1</v>
      </c>
      <c r="AO23" s="1157">
        <v>0</v>
      </c>
      <c r="AP23" s="2689">
        <f t="shared" si="2"/>
        <v>5</v>
      </c>
      <c r="AQ23" s="1169">
        <v>0</v>
      </c>
      <c r="AR23" s="1159">
        <v>1</v>
      </c>
      <c r="AS23" s="1159">
        <v>3</v>
      </c>
      <c r="AT23" s="1159">
        <v>1</v>
      </c>
      <c r="AU23" s="1159">
        <v>0</v>
      </c>
      <c r="AV23" s="1159">
        <v>0</v>
      </c>
      <c r="AW23" s="2689">
        <v>5</v>
      </c>
      <c r="AX23" s="3153"/>
      <c r="BB23" s="1569"/>
      <c r="BC23" s="1569"/>
      <c r="BD23" s="1569"/>
      <c r="BE23" s="1569"/>
      <c r="BF23" s="1569"/>
    </row>
    <row r="24" spans="2:58" ht="15" customHeight="1">
      <c r="B24" s="4100"/>
      <c r="C24" s="3254" t="s">
        <v>900</v>
      </c>
      <c r="D24" s="2705"/>
      <c r="E24" s="1161"/>
      <c r="F24" s="2703"/>
      <c r="G24" s="2703"/>
      <c r="H24" s="2703"/>
      <c r="I24" s="2682"/>
      <c r="J24" s="2704"/>
      <c r="K24" s="1161"/>
      <c r="L24" s="2703"/>
      <c r="M24" s="2703"/>
      <c r="N24" s="2703"/>
      <c r="O24" s="2682"/>
      <c r="P24" s="2694"/>
      <c r="Q24" s="2694"/>
      <c r="R24" s="2694"/>
      <c r="S24" s="2724"/>
      <c r="T24" s="2695"/>
      <c r="U24" s="2729"/>
      <c r="V24" s="2699"/>
      <c r="W24" s="2694"/>
      <c r="X24" s="2694"/>
      <c r="Y24" s="2694"/>
      <c r="Z24" s="2694"/>
      <c r="AA24" s="2694"/>
      <c r="AB24" s="2700"/>
      <c r="AC24" s="2699"/>
      <c r="AD24" s="2694"/>
      <c r="AE24" s="2694"/>
      <c r="AF24" s="2694"/>
      <c r="AG24" s="2694"/>
      <c r="AH24" s="2694"/>
      <c r="AI24" s="2700"/>
      <c r="AJ24" s="2699"/>
      <c r="AK24" s="2694"/>
      <c r="AL24" s="2694"/>
      <c r="AM24" s="2694"/>
      <c r="AN24" s="2694"/>
      <c r="AO24" s="2694"/>
      <c r="AP24" s="2700"/>
      <c r="AQ24" s="3003">
        <v>0</v>
      </c>
      <c r="AR24" s="3004">
        <v>5</v>
      </c>
      <c r="AS24" s="3004">
        <v>3</v>
      </c>
      <c r="AT24" s="3004">
        <v>1</v>
      </c>
      <c r="AU24" s="3004">
        <v>0</v>
      </c>
      <c r="AV24" s="3004">
        <v>0</v>
      </c>
      <c r="AW24" s="2999">
        <v>9</v>
      </c>
      <c r="AX24" s="3153"/>
      <c r="BB24" s="1569"/>
      <c r="BC24" s="1569"/>
      <c r="BD24" s="1569"/>
      <c r="BE24" s="1569"/>
      <c r="BF24" s="1569"/>
    </row>
    <row r="25" spans="2:58" ht="15" customHeight="1">
      <c r="B25" s="4101"/>
      <c r="C25" s="3255" t="s">
        <v>901</v>
      </c>
      <c r="D25" s="2720"/>
      <c r="E25" s="2721"/>
      <c r="F25" s="2712"/>
      <c r="G25" s="2712"/>
      <c r="H25" s="2712"/>
      <c r="I25" s="2713"/>
      <c r="J25" s="2722"/>
      <c r="K25" s="2721"/>
      <c r="L25" s="2712"/>
      <c r="M25" s="2712"/>
      <c r="N25" s="2712"/>
      <c r="O25" s="2723"/>
      <c r="P25" s="2698"/>
      <c r="Q25" s="2698"/>
      <c r="R25" s="2698"/>
      <c r="S25" s="2698"/>
      <c r="T25" s="2706"/>
      <c r="U25" s="2707"/>
      <c r="V25" s="2698"/>
      <c r="W25" s="2698"/>
      <c r="X25" s="2698"/>
      <c r="Y25" s="2698"/>
      <c r="Z25" s="2698"/>
      <c r="AA25" s="2731"/>
      <c r="AB25" s="2701"/>
      <c r="AC25" s="2702"/>
      <c r="AD25" s="2698"/>
      <c r="AE25" s="2698"/>
      <c r="AF25" s="2698"/>
      <c r="AG25" s="2698"/>
      <c r="AH25" s="2702"/>
      <c r="AI25" s="2701"/>
      <c r="AJ25" s="2702"/>
      <c r="AK25" s="2698"/>
      <c r="AL25" s="2698"/>
      <c r="AM25" s="2698"/>
      <c r="AN25" s="2702"/>
      <c r="AO25" s="2702"/>
      <c r="AP25" s="2728"/>
      <c r="AQ25" s="2955">
        <v>0</v>
      </c>
      <c r="AR25" s="3005">
        <v>1</v>
      </c>
      <c r="AS25" s="3005">
        <v>1</v>
      </c>
      <c r="AT25" s="3005">
        <v>0</v>
      </c>
      <c r="AU25" s="3005">
        <v>0</v>
      </c>
      <c r="AV25" s="3005">
        <v>0</v>
      </c>
      <c r="AW25" s="3006">
        <v>2</v>
      </c>
      <c r="AX25" s="3153"/>
      <c r="BB25" s="1569"/>
      <c r="BC25" s="1569"/>
      <c r="BD25" s="1569"/>
      <c r="BE25" s="1569"/>
      <c r="BF25" s="1569"/>
    </row>
    <row r="26" spans="2:58" ht="15" customHeight="1">
      <c r="B26" s="4069" t="s">
        <v>178</v>
      </c>
      <c r="C26" s="3259" t="s">
        <v>898</v>
      </c>
      <c r="D26" s="1145">
        <v>0</v>
      </c>
      <c r="E26" s="1146">
        <v>1</v>
      </c>
      <c r="F26" s="1146">
        <v>1</v>
      </c>
      <c r="G26" s="1146">
        <v>0</v>
      </c>
      <c r="H26" s="1146">
        <v>0</v>
      </c>
      <c r="I26" s="1123">
        <v>0</v>
      </c>
      <c r="J26" s="1148">
        <v>0</v>
      </c>
      <c r="K26" s="1149">
        <v>0</v>
      </c>
      <c r="L26" s="1149">
        <v>1</v>
      </c>
      <c r="M26" s="1149">
        <v>0</v>
      </c>
      <c r="N26" s="1149">
        <v>0</v>
      </c>
      <c r="O26" s="1127">
        <v>0</v>
      </c>
      <c r="P26" s="1128">
        <v>0</v>
      </c>
      <c r="Q26" s="1129">
        <v>0</v>
      </c>
      <c r="R26" s="1129">
        <v>1</v>
      </c>
      <c r="S26" s="1129">
        <v>0</v>
      </c>
      <c r="T26" s="1129">
        <v>0</v>
      </c>
      <c r="U26" s="1130">
        <v>0</v>
      </c>
      <c r="V26" s="1319">
        <v>0</v>
      </c>
      <c r="W26" s="1129">
        <v>0</v>
      </c>
      <c r="X26" s="1129">
        <v>1</v>
      </c>
      <c r="Y26" s="1129">
        <v>0</v>
      </c>
      <c r="Z26" s="1129">
        <v>0</v>
      </c>
      <c r="AA26" s="1129">
        <v>0</v>
      </c>
      <c r="AB26" s="1133">
        <f t="shared" si="0"/>
        <v>1</v>
      </c>
      <c r="AC26" s="1128">
        <v>0</v>
      </c>
      <c r="AD26" s="1129">
        <v>0</v>
      </c>
      <c r="AE26" s="1129">
        <v>0</v>
      </c>
      <c r="AF26" s="1129">
        <v>0</v>
      </c>
      <c r="AG26" s="1129">
        <v>0</v>
      </c>
      <c r="AH26" s="1129">
        <v>0</v>
      </c>
      <c r="AI26" s="1133">
        <f t="shared" si="1"/>
        <v>0</v>
      </c>
      <c r="AJ26" s="1131">
        <v>0</v>
      </c>
      <c r="AK26" s="1132">
        <v>0</v>
      </c>
      <c r="AL26" s="1132">
        <v>1</v>
      </c>
      <c r="AM26" s="1132">
        <v>0</v>
      </c>
      <c r="AN26" s="1132">
        <v>0</v>
      </c>
      <c r="AO26" s="1129">
        <v>0</v>
      </c>
      <c r="AP26" s="1133">
        <f t="shared" si="2"/>
        <v>1</v>
      </c>
      <c r="AQ26" s="1131">
        <v>1</v>
      </c>
      <c r="AR26" s="1132">
        <v>14</v>
      </c>
      <c r="AS26" s="1132">
        <v>7</v>
      </c>
      <c r="AT26" s="1132">
        <v>0</v>
      </c>
      <c r="AU26" s="1132">
        <v>3</v>
      </c>
      <c r="AV26" s="1132">
        <v>0</v>
      </c>
      <c r="AW26" s="1133">
        <v>25</v>
      </c>
      <c r="AX26" s="3153"/>
      <c r="BB26" s="1569"/>
      <c r="BC26" s="1569"/>
      <c r="BD26" s="1569"/>
      <c r="BE26" s="1569"/>
      <c r="BF26" s="1569"/>
    </row>
    <row r="27" spans="2:58" ht="15" customHeight="1">
      <c r="B27" s="4070"/>
      <c r="C27" s="3180" t="s">
        <v>899</v>
      </c>
      <c r="D27" s="2745">
        <v>0</v>
      </c>
      <c r="E27" s="1152">
        <v>0</v>
      </c>
      <c r="F27" s="1152">
        <v>1</v>
      </c>
      <c r="G27" s="1152">
        <v>0</v>
      </c>
      <c r="H27" s="1152">
        <v>0</v>
      </c>
      <c r="I27" s="1153">
        <v>0</v>
      </c>
      <c r="J27" s="1150">
        <v>0</v>
      </c>
      <c r="K27" s="1152">
        <v>0</v>
      </c>
      <c r="L27" s="2745">
        <v>1</v>
      </c>
      <c r="M27" s="2745">
        <v>0</v>
      </c>
      <c r="N27" s="1152">
        <v>0</v>
      </c>
      <c r="O27" s="1155">
        <v>0</v>
      </c>
      <c r="P27" s="1156">
        <v>0</v>
      </c>
      <c r="Q27" s="1157">
        <v>0</v>
      </c>
      <c r="R27" s="1157">
        <v>1</v>
      </c>
      <c r="S27" s="1157">
        <v>0</v>
      </c>
      <c r="T27" s="1157">
        <v>0</v>
      </c>
      <c r="U27" s="1158">
        <v>0</v>
      </c>
      <c r="V27" s="2687">
        <v>0</v>
      </c>
      <c r="W27" s="1157">
        <v>0</v>
      </c>
      <c r="X27" s="1157">
        <v>1</v>
      </c>
      <c r="Y27" s="1156">
        <v>0</v>
      </c>
      <c r="Z27" s="1157">
        <v>0</v>
      </c>
      <c r="AA27" s="1157">
        <v>0</v>
      </c>
      <c r="AB27" s="2689">
        <f t="shared" si="0"/>
        <v>1</v>
      </c>
      <c r="AC27" s="1156">
        <v>0</v>
      </c>
      <c r="AD27" s="1157">
        <v>0</v>
      </c>
      <c r="AE27" s="1157">
        <v>0</v>
      </c>
      <c r="AF27" s="1157">
        <v>0</v>
      </c>
      <c r="AG27" s="1157">
        <v>0</v>
      </c>
      <c r="AH27" s="1157">
        <v>0</v>
      </c>
      <c r="AI27" s="2689">
        <f t="shared" si="1"/>
        <v>0</v>
      </c>
      <c r="AJ27" s="1169">
        <v>0</v>
      </c>
      <c r="AK27" s="1159">
        <v>0</v>
      </c>
      <c r="AL27" s="1159">
        <v>1</v>
      </c>
      <c r="AM27" s="1159">
        <v>0</v>
      </c>
      <c r="AN27" s="1159">
        <v>0</v>
      </c>
      <c r="AO27" s="1157">
        <v>0</v>
      </c>
      <c r="AP27" s="2689">
        <f t="shared" si="2"/>
        <v>1</v>
      </c>
      <c r="AQ27" s="1169">
        <v>0</v>
      </c>
      <c r="AR27" s="1159">
        <v>0</v>
      </c>
      <c r="AS27" s="1159">
        <v>4</v>
      </c>
      <c r="AT27" s="1159">
        <v>0</v>
      </c>
      <c r="AU27" s="1159">
        <v>1</v>
      </c>
      <c r="AV27" s="1159">
        <v>0</v>
      </c>
      <c r="AW27" s="2689">
        <v>5</v>
      </c>
      <c r="AX27" s="3153"/>
    </row>
    <row r="28" spans="2:58" ht="15" customHeight="1">
      <c r="B28" s="4096"/>
      <c r="C28" s="3257" t="s">
        <v>900</v>
      </c>
      <c r="D28" s="2746"/>
      <c r="E28" s="2747"/>
      <c r="F28" s="2748"/>
      <c r="G28" s="2748"/>
      <c r="H28" s="2748"/>
      <c r="I28" s="2749"/>
      <c r="J28" s="2750"/>
      <c r="K28" s="2747"/>
      <c r="L28" s="2748"/>
      <c r="M28" s="2748"/>
      <c r="N28" s="2748"/>
      <c r="O28" s="2749"/>
      <c r="P28" s="2695"/>
      <c r="Q28" s="2695"/>
      <c r="R28" s="2695"/>
      <c r="S28" s="2696"/>
      <c r="T28" s="2695"/>
      <c r="U28" s="2729"/>
      <c r="V28" s="2697"/>
      <c r="W28" s="2695"/>
      <c r="X28" s="2695"/>
      <c r="Y28" s="2695"/>
      <c r="Z28" s="2695"/>
      <c r="AA28" s="2695"/>
      <c r="AB28" s="2751"/>
      <c r="AC28" s="2697"/>
      <c r="AD28" s="2695"/>
      <c r="AE28" s="2695"/>
      <c r="AF28" s="2695"/>
      <c r="AG28" s="2695"/>
      <c r="AH28" s="2695"/>
      <c r="AI28" s="2751"/>
      <c r="AJ28" s="2697"/>
      <c r="AK28" s="2695"/>
      <c r="AL28" s="2695"/>
      <c r="AM28" s="2695"/>
      <c r="AN28" s="2695"/>
      <c r="AO28" s="2695"/>
      <c r="AP28" s="2751"/>
      <c r="AQ28" s="2735">
        <v>0</v>
      </c>
      <c r="AR28" s="2688">
        <v>8</v>
      </c>
      <c r="AS28" s="2688">
        <v>1</v>
      </c>
      <c r="AT28" s="2688">
        <v>0</v>
      </c>
      <c r="AU28" s="2688">
        <v>3</v>
      </c>
      <c r="AV28" s="2688">
        <v>0</v>
      </c>
      <c r="AW28" s="2733">
        <v>12</v>
      </c>
      <c r="AX28" s="3153"/>
    </row>
    <row r="29" spans="2:58" ht="15" customHeight="1" thickBot="1">
      <c r="B29" s="4072"/>
      <c r="C29" s="3260" t="s">
        <v>901</v>
      </c>
      <c r="D29" s="2752"/>
      <c r="E29" s="2753"/>
      <c r="F29" s="2754"/>
      <c r="G29" s="2754"/>
      <c r="H29" s="2754"/>
      <c r="I29" s="2755"/>
      <c r="J29" s="2756"/>
      <c r="K29" s="2753"/>
      <c r="L29" s="2754"/>
      <c r="M29" s="2754"/>
      <c r="N29" s="2754"/>
      <c r="O29" s="2757"/>
      <c r="P29" s="2706"/>
      <c r="Q29" s="2706"/>
      <c r="R29" s="2706"/>
      <c r="S29" s="2706"/>
      <c r="T29" s="2706"/>
      <c r="U29" s="2707"/>
      <c r="V29" s="2706"/>
      <c r="W29" s="2706"/>
      <c r="X29" s="2706"/>
      <c r="Y29" s="2706"/>
      <c r="Z29" s="2706"/>
      <c r="AA29" s="2758"/>
      <c r="AB29" s="2707"/>
      <c r="AC29" s="2759"/>
      <c r="AD29" s="2706"/>
      <c r="AE29" s="2706"/>
      <c r="AF29" s="2706"/>
      <c r="AG29" s="2706"/>
      <c r="AH29" s="2759"/>
      <c r="AI29" s="2707"/>
      <c r="AJ29" s="2759"/>
      <c r="AK29" s="2706"/>
      <c r="AL29" s="2706"/>
      <c r="AM29" s="2706"/>
      <c r="AN29" s="2759"/>
      <c r="AO29" s="2759"/>
      <c r="AP29" s="2760"/>
      <c r="AQ29" s="3010">
        <v>1</v>
      </c>
      <c r="AR29" s="3011">
        <v>6</v>
      </c>
      <c r="AS29" s="3011">
        <v>6</v>
      </c>
      <c r="AT29" s="3011">
        <v>0</v>
      </c>
      <c r="AU29" s="3011">
        <v>0</v>
      </c>
      <c r="AV29" s="3011">
        <v>0</v>
      </c>
      <c r="AW29" s="2761">
        <v>13</v>
      </c>
      <c r="AX29" s="3153"/>
    </row>
    <row r="30" spans="2:58" ht="15" hidden="1" customHeight="1">
      <c r="B30" s="4069" t="s">
        <v>179</v>
      </c>
      <c r="C30" s="3261" t="s">
        <v>898</v>
      </c>
      <c r="D30" s="3251">
        <v>0</v>
      </c>
      <c r="E30" s="1149">
        <v>0</v>
      </c>
      <c r="F30" s="1149">
        <v>0</v>
      </c>
      <c r="G30" s="1149">
        <v>0</v>
      </c>
      <c r="H30" s="1149">
        <v>0</v>
      </c>
      <c r="I30" s="1144">
        <v>0</v>
      </c>
      <c r="J30" s="1148">
        <v>0</v>
      </c>
      <c r="K30" s="1149">
        <v>0</v>
      </c>
      <c r="L30" s="1149">
        <v>0</v>
      </c>
      <c r="M30" s="1149">
        <v>0</v>
      </c>
      <c r="N30" s="1149">
        <v>0</v>
      </c>
      <c r="O30" s="1127">
        <v>0</v>
      </c>
      <c r="P30" s="1128">
        <v>0</v>
      </c>
      <c r="Q30" s="1129">
        <v>0</v>
      </c>
      <c r="R30" s="1129">
        <v>0</v>
      </c>
      <c r="S30" s="1129">
        <v>0</v>
      </c>
      <c r="T30" s="1129">
        <v>0</v>
      </c>
      <c r="U30" s="1130">
        <v>0</v>
      </c>
      <c r="V30" s="1319">
        <v>0</v>
      </c>
      <c r="W30" s="1129">
        <v>0</v>
      </c>
      <c r="X30" s="1129">
        <v>0</v>
      </c>
      <c r="Y30" s="1129">
        <v>0</v>
      </c>
      <c r="Z30" s="1129">
        <v>0</v>
      </c>
      <c r="AA30" s="1129">
        <v>0</v>
      </c>
      <c r="AB30" s="1133">
        <f t="shared" si="0"/>
        <v>0</v>
      </c>
      <c r="AC30" s="1128">
        <v>0</v>
      </c>
      <c r="AD30" s="1129">
        <v>0</v>
      </c>
      <c r="AE30" s="1129">
        <v>0</v>
      </c>
      <c r="AF30" s="1129">
        <v>0</v>
      </c>
      <c r="AG30" s="1129">
        <v>0</v>
      </c>
      <c r="AH30" s="1129">
        <v>0</v>
      </c>
      <c r="AI30" s="1133">
        <f t="shared" si="1"/>
        <v>0</v>
      </c>
      <c r="AJ30" s="1131">
        <v>0</v>
      </c>
      <c r="AK30" s="1132">
        <v>0</v>
      </c>
      <c r="AL30" s="1132">
        <v>0</v>
      </c>
      <c r="AM30" s="1132">
        <v>0</v>
      </c>
      <c r="AN30" s="1132">
        <v>0</v>
      </c>
      <c r="AO30" s="1129">
        <v>0</v>
      </c>
      <c r="AP30" s="1133">
        <f t="shared" si="2"/>
        <v>0</v>
      </c>
      <c r="AQ30" s="1131"/>
      <c r="AR30" s="1132"/>
      <c r="AS30" s="1132"/>
      <c r="AT30" s="1132"/>
      <c r="AU30" s="1132"/>
      <c r="AV30" s="1132"/>
      <c r="AW30" s="1133"/>
      <c r="AX30" s="3153"/>
    </row>
    <row r="31" spans="2:58" ht="15" hidden="1" customHeight="1">
      <c r="B31" s="4070"/>
      <c r="C31" s="3262" t="s">
        <v>899</v>
      </c>
      <c r="D31" s="2745">
        <v>0</v>
      </c>
      <c r="E31" s="1152">
        <v>0</v>
      </c>
      <c r="F31" s="1152">
        <v>0</v>
      </c>
      <c r="G31" s="1152">
        <v>0</v>
      </c>
      <c r="H31" s="1152">
        <v>0</v>
      </c>
      <c r="I31" s="1153">
        <v>0</v>
      </c>
      <c r="J31" s="1154">
        <v>0</v>
      </c>
      <c r="K31" s="1152">
        <v>0</v>
      </c>
      <c r="L31" s="1152">
        <v>0</v>
      </c>
      <c r="M31" s="1152">
        <v>0</v>
      </c>
      <c r="N31" s="1152">
        <v>0</v>
      </c>
      <c r="O31" s="1155">
        <v>0</v>
      </c>
      <c r="P31" s="1156">
        <v>0</v>
      </c>
      <c r="Q31" s="1157">
        <v>0</v>
      </c>
      <c r="R31" s="1157">
        <v>0</v>
      </c>
      <c r="S31" s="1157">
        <v>0</v>
      </c>
      <c r="T31" s="1157">
        <v>0</v>
      </c>
      <c r="U31" s="1158">
        <v>0</v>
      </c>
      <c r="V31" s="2687">
        <v>0</v>
      </c>
      <c r="W31" s="1157">
        <v>0</v>
      </c>
      <c r="X31" s="1157">
        <v>0</v>
      </c>
      <c r="Y31" s="1157">
        <v>0</v>
      </c>
      <c r="Z31" s="1157">
        <v>0</v>
      </c>
      <c r="AA31" s="1157">
        <v>0</v>
      </c>
      <c r="AB31" s="2689">
        <f t="shared" si="0"/>
        <v>0</v>
      </c>
      <c r="AC31" s="2687">
        <v>0</v>
      </c>
      <c r="AD31" s="1157">
        <v>0</v>
      </c>
      <c r="AE31" s="1157">
        <v>0</v>
      </c>
      <c r="AF31" s="1157">
        <v>0</v>
      </c>
      <c r="AG31" s="1157">
        <v>0</v>
      </c>
      <c r="AH31" s="1157">
        <v>0</v>
      </c>
      <c r="AI31" s="2689">
        <f t="shared" si="1"/>
        <v>0</v>
      </c>
      <c r="AJ31" s="1169">
        <v>0</v>
      </c>
      <c r="AK31" s="1159">
        <v>0</v>
      </c>
      <c r="AL31" s="1159">
        <v>0</v>
      </c>
      <c r="AM31" s="1159">
        <v>0</v>
      </c>
      <c r="AN31" s="1159">
        <v>0</v>
      </c>
      <c r="AO31" s="1157">
        <v>0</v>
      </c>
      <c r="AP31" s="2689">
        <f t="shared" si="2"/>
        <v>0</v>
      </c>
      <c r="AQ31" s="1169"/>
      <c r="AR31" s="1159"/>
      <c r="AS31" s="1159"/>
      <c r="AT31" s="1159"/>
      <c r="AU31" s="1159"/>
      <c r="AV31" s="1159"/>
      <c r="AW31" s="2689"/>
      <c r="AX31" s="3153"/>
    </row>
    <row r="32" spans="2:58" ht="15" hidden="1" customHeight="1">
      <c r="B32" s="4070"/>
      <c r="C32" s="3257" t="s">
        <v>900</v>
      </c>
      <c r="D32" s="2746"/>
      <c r="E32" s="2747"/>
      <c r="F32" s="2748"/>
      <c r="G32" s="2748"/>
      <c r="H32" s="2748"/>
      <c r="I32" s="2749"/>
      <c r="J32" s="2750"/>
      <c r="K32" s="2747"/>
      <c r="L32" s="2748"/>
      <c r="M32" s="2748"/>
      <c r="N32" s="2748"/>
      <c r="O32" s="2749"/>
      <c r="P32" s="2695"/>
      <c r="Q32" s="2695"/>
      <c r="R32" s="2695"/>
      <c r="S32" s="2696"/>
      <c r="T32" s="2695"/>
      <c r="U32" s="2729"/>
      <c r="V32" s="2697"/>
      <c r="W32" s="2695"/>
      <c r="X32" s="2695"/>
      <c r="Y32" s="2695"/>
      <c r="Z32" s="2695"/>
      <c r="AA32" s="2695"/>
      <c r="AB32" s="2751"/>
      <c r="AC32" s="2697"/>
      <c r="AD32" s="2695"/>
      <c r="AE32" s="2695"/>
      <c r="AF32" s="2695"/>
      <c r="AG32" s="2695"/>
      <c r="AH32" s="2695"/>
      <c r="AI32" s="2751"/>
      <c r="AJ32" s="2697"/>
      <c r="AK32" s="2695"/>
      <c r="AL32" s="2695"/>
      <c r="AM32" s="2695"/>
      <c r="AN32" s="2695"/>
      <c r="AO32" s="2695"/>
      <c r="AP32" s="2751"/>
      <c r="AQ32" s="2735"/>
      <c r="AR32" s="2688"/>
      <c r="AS32" s="2688"/>
      <c r="AT32" s="2688"/>
      <c r="AU32" s="2688"/>
      <c r="AV32" s="2688"/>
      <c r="AW32" s="2733"/>
      <c r="AX32" s="3153"/>
    </row>
    <row r="33" spans="2:50" ht="15" hidden="1" customHeight="1">
      <c r="B33" s="4070"/>
      <c r="C33" s="3260" t="s">
        <v>901</v>
      </c>
      <c r="D33" s="2752"/>
      <c r="E33" s="2753"/>
      <c r="F33" s="2754"/>
      <c r="G33" s="2754"/>
      <c r="H33" s="2754"/>
      <c r="I33" s="2755"/>
      <c r="J33" s="2756"/>
      <c r="K33" s="2753"/>
      <c r="L33" s="2754"/>
      <c r="M33" s="2754"/>
      <c r="N33" s="2754"/>
      <c r="O33" s="2757"/>
      <c r="P33" s="2706"/>
      <c r="Q33" s="2706"/>
      <c r="R33" s="2706"/>
      <c r="S33" s="2706"/>
      <c r="T33" s="2706"/>
      <c r="U33" s="2707"/>
      <c r="V33" s="2706"/>
      <c r="W33" s="2706"/>
      <c r="X33" s="2706"/>
      <c r="Y33" s="2706"/>
      <c r="Z33" s="2706"/>
      <c r="AA33" s="2758"/>
      <c r="AB33" s="2707"/>
      <c r="AC33" s="2759"/>
      <c r="AD33" s="2706"/>
      <c r="AE33" s="2706"/>
      <c r="AF33" s="2706"/>
      <c r="AG33" s="2706"/>
      <c r="AH33" s="2759"/>
      <c r="AI33" s="2707"/>
      <c r="AJ33" s="2759"/>
      <c r="AK33" s="2706"/>
      <c r="AL33" s="2706"/>
      <c r="AM33" s="2706"/>
      <c r="AN33" s="2759"/>
      <c r="AO33" s="2759"/>
      <c r="AP33" s="2760"/>
      <c r="AQ33" s="3010"/>
      <c r="AR33" s="3011"/>
      <c r="AS33" s="3011"/>
      <c r="AT33" s="3011"/>
      <c r="AU33" s="3011"/>
      <c r="AV33" s="3011"/>
      <c r="AW33" s="2761"/>
      <c r="AX33" s="3153"/>
    </row>
    <row r="34" spans="2:50" ht="15" customHeight="1">
      <c r="B34" s="4071" t="s">
        <v>608</v>
      </c>
      <c r="C34" s="3261" t="s">
        <v>898</v>
      </c>
      <c r="D34" s="3251"/>
      <c r="E34" s="1149"/>
      <c r="F34" s="1149"/>
      <c r="G34" s="1149"/>
      <c r="H34" s="1149"/>
      <c r="I34" s="1144"/>
      <c r="J34" s="1148"/>
      <c r="K34" s="1149"/>
      <c r="L34" s="1149"/>
      <c r="M34" s="1149"/>
      <c r="N34" s="1149"/>
      <c r="O34" s="1127"/>
      <c r="P34" s="1671"/>
      <c r="Q34" s="1335"/>
      <c r="R34" s="1335"/>
      <c r="S34" s="1335"/>
      <c r="T34" s="1335"/>
      <c r="U34" s="1672"/>
      <c r="V34" s="1319" t="s">
        <v>24</v>
      </c>
      <c r="W34" s="1128" t="s">
        <v>24</v>
      </c>
      <c r="X34" s="1128" t="s">
        <v>24</v>
      </c>
      <c r="Y34" s="1128" t="s">
        <v>24</v>
      </c>
      <c r="Z34" s="1128" t="s">
        <v>24</v>
      </c>
      <c r="AA34" s="1129" t="s">
        <v>24</v>
      </c>
      <c r="AB34" s="1133">
        <f t="shared" si="0"/>
        <v>0</v>
      </c>
      <c r="AC34" s="1128" t="s">
        <v>24</v>
      </c>
      <c r="AD34" s="1128" t="s">
        <v>24</v>
      </c>
      <c r="AE34" s="1128" t="s">
        <v>24</v>
      </c>
      <c r="AF34" s="1128" t="s">
        <v>24</v>
      </c>
      <c r="AG34" s="1128" t="s">
        <v>24</v>
      </c>
      <c r="AH34" s="1129" t="s">
        <v>24</v>
      </c>
      <c r="AI34" s="1133">
        <f t="shared" si="1"/>
        <v>0</v>
      </c>
      <c r="AJ34" s="1131">
        <v>17</v>
      </c>
      <c r="AK34" s="1132">
        <v>8</v>
      </c>
      <c r="AL34" s="1132">
        <v>6</v>
      </c>
      <c r="AM34" s="1132">
        <v>8</v>
      </c>
      <c r="AN34" s="1132">
        <v>7</v>
      </c>
      <c r="AO34" s="1129">
        <v>2</v>
      </c>
      <c r="AP34" s="1133">
        <f t="shared" si="2"/>
        <v>48</v>
      </c>
      <c r="AQ34" s="1131">
        <v>27</v>
      </c>
      <c r="AR34" s="1132">
        <v>23</v>
      </c>
      <c r="AS34" s="1132">
        <v>14</v>
      </c>
      <c r="AT34" s="1132">
        <v>7</v>
      </c>
      <c r="AU34" s="1132">
        <v>11</v>
      </c>
      <c r="AV34" s="1132">
        <v>2</v>
      </c>
      <c r="AW34" s="1133">
        <v>84</v>
      </c>
      <c r="AX34" s="3153"/>
    </row>
    <row r="35" spans="2:50" ht="15" customHeight="1">
      <c r="B35" s="4070"/>
      <c r="C35" s="3262" t="s">
        <v>899</v>
      </c>
      <c r="D35" s="2745"/>
      <c r="E35" s="1152"/>
      <c r="F35" s="1152"/>
      <c r="G35" s="1152"/>
      <c r="H35" s="1152"/>
      <c r="I35" s="1153"/>
      <c r="J35" s="1154"/>
      <c r="K35" s="1152"/>
      <c r="L35" s="1152"/>
      <c r="M35" s="1152"/>
      <c r="N35" s="1152"/>
      <c r="O35" s="1155"/>
      <c r="P35" s="2687"/>
      <c r="Q35" s="1157"/>
      <c r="R35" s="1157"/>
      <c r="S35" s="1157"/>
      <c r="T35" s="1157"/>
      <c r="U35" s="1158"/>
      <c r="V35" s="2687" t="s">
        <v>24</v>
      </c>
      <c r="W35" s="1156" t="s">
        <v>24</v>
      </c>
      <c r="X35" s="1156" t="s">
        <v>24</v>
      </c>
      <c r="Y35" s="1156" t="s">
        <v>24</v>
      </c>
      <c r="Z35" s="1156" t="s">
        <v>24</v>
      </c>
      <c r="AA35" s="1157" t="s">
        <v>24</v>
      </c>
      <c r="AB35" s="2689">
        <f t="shared" si="0"/>
        <v>0</v>
      </c>
      <c r="AC35" s="1156" t="s">
        <v>24</v>
      </c>
      <c r="AD35" s="1156" t="s">
        <v>24</v>
      </c>
      <c r="AE35" s="1156" t="s">
        <v>24</v>
      </c>
      <c r="AF35" s="1156" t="s">
        <v>24</v>
      </c>
      <c r="AG35" s="1156" t="s">
        <v>24</v>
      </c>
      <c r="AH35" s="1157" t="s">
        <v>24</v>
      </c>
      <c r="AI35" s="2689">
        <f t="shared" si="1"/>
        <v>0</v>
      </c>
      <c r="AJ35" s="1169">
        <v>0</v>
      </c>
      <c r="AK35" s="1159">
        <v>0</v>
      </c>
      <c r="AL35" s="1159">
        <v>0</v>
      </c>
      <c r="AM35" s="1159">
        <v>0</v>
      </c>
      <c r="AN35" s="1159">
        <v>0</v>
      </c>
      <c r="AO35" s="1157">
        <v>0</v>
      </c>
      <c r="AP35" s="2689">
        <f t="shared" si="2"/>
        <v>0</v>
      </c>
      <c r="AQ35" s="1169">
        <v>0</v>
      </c>
      <c r="AR35" s="1159">
        <v>2</v>
      </c>
      <c r="AS35" s="1159">
        <v>4</v>
      </c>
      <c r="AT35" s="1159">
        <v>0</v>
      </c>
      <c r="AU35" s="1159">
        <v>1</v>
      </c>
      <c r="AV35" s="1159">
        <v>0</v>
      </c>
      <c r="AW35" s="2689">
        <v>7</v>
      </c>
      <c r="AX35" s="3153"/>
    </row>
    <row r="36" spans="2:50" ht="15" customHeight="1">
      <c r="B36" s="4070"/>
      <c r="C36" s="3257" t="s">
        <v>900</v>
      </c>
      <c r="D36" s="2746"/>
      <c r="E36" s="2747"/>
      <c r="F36" s="2748"/>
      <c r="G36" s="2748"/>
      <c r="H36" s="2748"/>
      <c r="I36" s="2749"/>
      <c r="J36" s="2750"/>
      <c r="K36" s="2747"/>
      <c r="L36" s="2748"/>
      <c r="M36" s="2748"/>
      <c r="N36" s="2748"/>
      <c r="O36" s="2749"/>
      <c r="P36" s="2695"/>
      <c r="Q36" s="2695"/>
      <c r="R36" s="2695"/>
      <c r="S36" s="2696"/>
      <c r="T36" s="2695"/>
      <c r="U36" s="2729"/>
      <c r="V36" s="2697"/>
      <c r="W36" s="2695"/>
      <c r="X36" s="2695"/>
      <c r="Y36" s="2695"/>
      <c r="Z36" s="2695"/>
      <c r="AA36" s="2695"/>
      <c r="AB36" s="2751"/>
      <c r="AC36" s="2697"/>
      <c r="AD36" s="2695"/>
      <c r="AE36" s="2695"/>
      <c r="AF36" s="2695"/>
      <c r="AG36" s="2695"/>
      <c r="AH36" s="2695"/>
      <c r="AI36" s="2751"/>
      <c r="AJ36" s="2697"/>
      <c r="AK36" s="2695"/>
      <c r="AL36" s="2695"/>
      <c r="AM36" s="2695"/>
      <c r="AN36" s="2695"/>
      <c r="AO36" s="2695"/>
      <c r="AP36" s="2751"/>
      <c r="AQ36" s="2735">
        <v>10</v>
      </c>
      <c r="AR36" s="2688">
        <v>16</v>
      </c>
      <c r="AS36" s="2688">
        <v>8</v>
      </c>
      <c r="AT36" s="2688">
        <v>4</v>
      </c>
      <c r="AU36" s="2688">
        <v>5</v>
      </c>
      <c r="AV36" s="2688">
        <v>1</v>
      </c>
      <c r="AW36" s="2733">
        <v>44</v>
      </c>
      <c r="AX36" s="3153"/>
    </row>
    <row r="37" spans="2:50" ht="15" customHeight="1">
      <c r="B37" s="4072"/>
      <c r="C37" s="3260" t="s">
        <v>901</v>
      </c>
      <c r="D37" s="2752"/>
      <c r="E37" s="2753"/>
      <c r="F37" s="2754"/>
      <c r="G37" s="2754"/>
      <c r="H37" s="2754"/>
      <c r="I37" s="2755"/>
      <c r="J37" s="2756"/>
      <c r="K37" s="2753"/>
      <c r="L37" s="2754"/>
      <c r="M37" s="2754"/>
      <c r="N37" s="2754"/>
      <c r="O37" s="2757"/>
      <c r="P37" s="2706"/>
      <c r="Q37" s="2706"/>
      <c r="R37" s="2706"/>
      <c r="S37" s="2706"/>
      <c r="T37" s="2706"/>
      <c r="U37" s="2707"/>
      <c r="V37" s="2706"/>
      <c r="W37" s="2706"/>
      <c r="X37" s="2706"/>
      <c r="Y37" s="2706"/>
      <c r="Z37" s="2706"/>
      <c r="AA37" s="2758"/>
      <c r="AB37" s="2707"/>
      <c r="AC37" s="2759"/>
      <c r="AD37" s="2706"/>
      <c r="AE37" s="2706"/>
      <c r="AF37" s="2706"/>
      <c r="AG37" s="2706"/>
      <c r="AH37" s="2759"/>
      <c r="AI37" s="2707"/>
      <c r="AJ37" s="2759"/>
      <c r="AK37" s="2706"/>
      <c r="AL37" s="2706"/>
      <c r="AM37" s="2706"/>
      <c r="AN37" s="2759"/>
      <c r="AO37" s="2759"/>
      <c r="AP37" s="2760"/>
      <c r="AQ37" s="3010">
        <v>17</v>
      </c>
      <c r="AR37" s="3011">
        <v>7</v>
      </c>
      <c r="AS37" s="3011">
        <v>6</v>
      </c>
      <c r="AT37" s="3011">
        <v>3</v>
      </c>
      <c r="AU37" s="3011">
        <v>6</v>
      </c>
      <c r="AV37" s="3011">
        <v>1</v>
      </c>
      <c r="AW37" s="2761">
        <v>40</v>
      </c>
      <c r="AX37" s="3153"/>
    </row>
    <row r="38" spans="2:50" ht="15" customHeight="1">
      <c r="B38" s="4073" t="s">
        <v>182</v>
      </c>
      <c r="C38" s="3263" t="s">
        <v>898</v>
      </c>
      <c r="D38" s="1145">
        <v>0</v>
      </c>
      <c r="E38" s="1146">
        <v>0</v>
      </c>
      <c r="F38" s="1146">
        <v>0</v>
      </c>
      <c r="G38" s="1146">
        <v>0</v>
      </c>
      <c r="H38" s="1146">
        <v>0</v>
      </c>
      <c r="I38" s="1123">
        <v>0</v>
      </c>
      <c r="J38" s="1160">
        <v>1</v>
      </c>
      <c r="K38" s="1161">
        <v>0</v>
      </c>
      <c r="L38" s="1161">
        <v>1</v>
      </c>
      <c r="M38" s="1161">
        <v>0</v>
      </c>
      <c r="N38" s="1161">
        <v>0</v>
      </c>
      <c r="O38" s="1162">
        <v>0</v>
      </c>
      <c r="P38" s="1163">
        <v>0</v>
      </c>
      <c r="Q38" s="1164">
        <v>0</v>
      </c>
      <c r="R38" s="1164">
        <v>0</v>
      </c>
      <c r="S38" s="1164">
        <v>0</v>
      </c>
      <c r="T38" s="1164">
        <v>0</v>
      </c>
      <c r="U38" s="1165">
        <v>0</v>
      </c>
      <c r="V38" s="1320">
        <v>55</v>
      </c>
      <c r="W38" s="1164">
        <v>65</v>
      </c>
      <c r="X38" s="1164">
        <v>39</v>
      </c>
      <c r="Y38" s="1164">
        <v>20</v>
      </c>
      <c r="Z38" s="1164">
        <v>12</v>
      </c>
      <c r="AA38" s="1164">
        <v>4</v>
      </c>
      <c r="AB38" s="1133">
        <f t="shared" si="0"/>
        <v>195</v>
      </c>
      <c r="AC38" s="1128">
        <v>0</v>
      </c>
      <c r="AD38" s="1129">
        <v>2</v>
      </c>
      <c r="AE38" s="1129">
        <v>5</v>
      </c>
      <c r="AF38" s="1129">
        <v>0</v>
      </c>
      <c r="AG38" s="1164">
        <v>0</v>
      </c>
      <c r="AH38" s="1129">
        <v>1</v>
      </c>
      <c r="AI38" s="1133">
        <f t="shared" si="1"/>
        <v>8</v>
      </c>
      <c r="AJ38" s="1131">
        <v>0</v>
      </c>
      <c r="AK38" s="1132">
        <v>0</v>
      </c>
      <c r="AL38" s="1132">
        <v>4</v>
      </c>
      <c r="AM38" s="1132">
        <v>1</v>
      </c>
      <c r="AN38" s="1166">
        <v>0</v>
      </c>
      <c r="AO38" s="1129">
        <v>1</v>
      </c>
      <c r="AP38" s="1133">
        <f t="shared" si="2"/>
        <v>6</v>
      </c>
      <c r="AQ38" s="1131">
        <v>172</v>
      </c>
      <c r="AR38" s="1132">
        <v>177</v>
      </c>
      <c r="AS38" s="1132">
        <v>134</v>
      </c>
      <c r="AT38" s="1132">
        <v>69</v>
      </c>
      <c r="AU38" s="1166">
        <v>42</v>
      </c>
      <c r="AV38" s="1132">
        <v>8</v>
      </c>
      <c r="AW38" s="1133">
        <v>602</v>
      </c>
      <c r="AX38" s="3153"/>
    </row>
    <row r="39" spans="2:50" ht="15" customHeight="1">
      <c r="B39" s="4073"/>
      <c r="C39" s="3265" t="s">
        <v>899</v>
      </c>
      <c r="D39" s="3264">
        <v>0</v>
      </c>
      <c r="E39" s="1167">
        <v>0</v>
      </c>
      <c r="F39" s="1167">
        <v>0</v>
      </c>
      <c r="G39" s="1167">
        <v>0</v>
      </c>
      <c r="H39" s="1167">
        <v>0</v>
      </c>
      <c r="I39" s="1168">
        <v>0</v>
      </c>
      <c r="J39" s="1147">
        <v>0</v>
      </c>
      <c r="K39" s="1140">
        <v>0</v>
      </c>
      <c r="L39" s="1140">
        <v>1</v>
      </c>
      <c r="M39" s="1140">
        <v>0</v>
      </c>
      <c r="N39" s="1140">
        <v>0</v>
      </c>
      <c r="O39" s="1138">
        <v>0</v>
      </c>
      <c r="P39" s="1156">
        <v>0</v>
      </c>
      <c r="Q39" s="1157">
        <v>0</v>
      </c>
      <c r="R39" s="1157">
        <v>0</v>
      </c>
      <c r="S39" s="1157">
        <v>0</v>
      </c>
      <c r="T39" s="1157">
        <v>0</v>
      </c>
      <c r="U39" s="1158">
        <v>0</v>
      </c>
      <c r="V39" s="2687">
        <v>0</v>
      </c>
      <c r="W39" s="1157">
        <v>0</v>
      </c>
      <c r="X39" s="1157">
        <v>0</v>
      </c>
      <c r="Y39" s="1157">
        <v>0</v>
      </c>
      <c r="Z39" s="1157">
        <v>0</v>
      </c>
      <c r="AA39" s="1157">
        <v>0</v>
      </c>
      <c r="AB39" s="1170">
        <f t="shared" si="0"/>
        <v>0</v>
      </c>
      <c r="AC39" s="1156">
        <v>0</v>
      </c>
      <c r="AD39" s="1157">
        <v>0</v>
      </c>
      <c r="AE39" s="1157">
        <v>0</v>
      </c>
      <c r="AF39" s="1157">
        <v>0</v>
      </c>
      <c r="AG39" s="1157">
        <v>0</v>
      </c>
      <c r="AH39" s="1156">
        <v>0</v>
      </c>
      <c r="AI39" s="1170">
        <f t="shared" si="1"/>
        <v>0</v>
      </c>
      <c r="AJ39" s="1169">
        <v>0</v>
      </c>
      <c r="AK39" s="1159">
        <v>0</v>
      </c>
      <c r="AL39" s="1159">
        <v>0</v>
      </c>
      <c r="AM39" s="1159">
        <v>0</v>
      </c>
      <c r="AN39" s="1159">
        <v>0</v>
      </c>
      <c r="AO39" s="1156">
        <v>0</v>
      </c>
      <c r="AP39" s="1170">
        <f t="shared" si="2"/>
        <v>0</v>
      </c>
      <c r="AQ39" s="1169">
        <v>1</v>
      </c>
      <c r="AR39" s="1159">
        <v>3</v>
      </c>
      <c r="AS39" s="1159">
        <v>8</v>
      </c>
      <c r="AT39" s="1159">
        <v>12</v>
      </c>
      <c r="AU39" s="1159">
        <v>4</v>
      </c>
      <c r="AV39" s="1169">
        <v>0</v>
      </c>
      <c r="AW39" s="1170">
        <v>28</v>
      </c>
      <c r="AX39" s="3153"/>
    </row>
    <row r="40" spans="2:50" ht="15" customHeight="1">
      <c r="B40" s="4073"/>
      <c r="C40" s="3266" t="s">
        <v>900</v>
      </c>
      <c r="D40" s="2746"/>
      <c r="E40" s="2747"/>
      <c r="F40" s="2748"/>
      <c r="G40" s="2748"/>
      <c r="H40" s="2748"/>
      <c r="I40" s="2749"/>
      <c r="J40" s="2750"/>
      <c r="K40" s="2747"/>
      <c r="L40" s="2748"/>
      <c r="M40" s="2748"/>
      <c r="N40" s="2748"/>
      <c r="O40" s="2749"/>
      <c r="P40" s="2695"/>
      <c r="Q40" s="2695"/>
      <c r="R40" s="2695"/>
      <c r="S40" s="2696"/>
      <c r="T40" s="2695"/>
      <c r="U40" s="2729"/>
      <c r="V40" s="2697"/>
      <c r="W40" s="2695"/>
      <c r="X40" s="2695"/>
      <c r="Y40" s="2695"/>
      <c r="Z40" s="2695"/>
      <c r="AA40" s="2695"/>
      <c r="AB40" s="2751"/>
      <c r="AC40" s="2697"/>
      <c r="AD40" s="2695"/>
      <c r="AE40" s="2695"/>
      <c r="AF40" s="2695"/>
      <c r="AG40" s="2695"/>
      <c r="AH40" s="2695"/>
      <c r="AI40" s="2751"/>
      <c r="AJ40" s="2697"/>
      <c r="AK40" s="2695"/>
      <c r="AL40" s="2695"/>
      <c r="AM40" s="2695"/>
      <c r="AN40" s="2695"/>
      <c r="AO40" s="2695"/>
      <c r="AP40" s="2751"/>
      <c r="AQ40" s="2735">
        <v>68</v>
      </c>
      <c r="AR40" s="2688">
        <v>91</v>
      </c>
      <c r="AS40" s="2688">
        <v>58</v>
      </c>
      <c r="AT40" s="2688">
        <v>32</v>
      </c>
      <c r="AU40" s="2688">
        <v>19</v>
      </c>
      <c r="AV40" s="2688">
        <v>6</v>
      </c>
      <c r="AW40" s="2733">
        <v>274</v>
      </c>
      <c r="AX40" s="3153"/>
    </row>
    <row r="41" spans="2:50" ht="15" customHeight="1" thickBot="1">
      <c r="B41" s="4074"/>
      <c r="C41" s="3267" t="s">
        <v>901</v>
      </c>
      <c r="D41" s="2752"/>
      <c r="E41" s="2753"/>
      <c r="F41" s="2754"/>
      <c r="G41" s="2754"/>
      <c r="H41" s="2754"/>
      <c r="I41" s="2755"/>
      <c r="J41" s="2756"/>
      <c r="K41" s="2753"/>
      <c r="L41" s="2754"/>
      <c r="M41" s="2754"/>
      <c r="N41" s="2754"/>
      <c r="O41" s="2757"/>
      <c r="P41" s="2706"/>
      <c r="Q41" s="2706"/>
      <c r="R41" s="2706"/>
      <c r="S41" s="2706"/>
      <c r="T41" s="2706"/>
      <c r="U41" s="2707"/>
      <c r="V41" s="2706"/>
      <c r="W41" s="2706"/>
      <c r="X41" s="2706"/>
      <c r="Y41" s="2706"/>
      <c r="Z41" s="2706"/>
      <c r="AA41" s="2758"/>
      <c r="AB41" s="2707"/>
      <c r="AC41" s="2759"/>
      <c r="AD41" s="2706"/>
      <c r="AE41" s="2706"/>
      <c r="AF41" s="2706"/>
      <c r="AG41" s="2706"/>
      <c r="AH41" s="2759"/>
      <c r="AI41" s="2707"/>
      <c r="AJ41" s="2759"/>
      <c r="AK41" s="2706"/>
      <c r="AL41" s="2706"/>
      <c r="AM41" s="2706"/>
      <c r="AN41" s="2759"/>
      <c r="AO41" s="2759"/>
      <c r="AP41" s="2760"/>
      <c r="AQ41" s="3010">
        <v>104</v>
      </c>
      <c r="AR41" s="3011">
        <v>86</v>
      </c>
      <c r="AS41" s="3011">
        <v>76</v>
      </c>
      <c r="AT41" s="3011">
        <v>37</v>
      </c>
      <c r="AU41" s="3011">
        <v>23</v>
      </c>
      <c r="AV41" s="3011">
        <v>2</v>
      </c>
      <c r="AW41" s="2761">
        <v>328</v>
      </c>
      <c r="AX41" s="3153"/>
    </row>
    <row r="42" spans="2:50" ht="15" customHeight="1">
      <c r="B42" s="4052" t="s">
        <v>183</v>
      </c>
      <c r="C42" s="1171" t="s">
        <v>898</v>
      </c>
      <c r="D42" s="1172">
        <v>931</v>
      </c>
      <c r="E42" s="1173">
        <v>1559</v>
      </c>
      <c r="F42" s="1173">
        <v>1417</v>
      </c>
      <c r="G42" s="1173">
        <v>1766</v>
      </c>
      <c r="H42" s="1173">
        <v>1173</v>
      </c>
      <c r="I42" s="1174">
        <v>147</v>
      </c>
      <c r="J42" s="1175">
        <v>759</v>
      </c>
      <c r="K42" s="1173">
        <v>1559</v>
      </c>
      <c r="L42" s="1173">
        <v>1464</v>
      </c>
      <c r="M42" s="1173">
        <v>1778</v>
      </c>
      <c r="N42" s="1173">
        <v>1298</v>
      </c>
      <c r="O42" s="1176">
        <v>170</v>
      </c>
      <c r="P42" s="1177">
        <f t="shared" ref="P42:AA42" si="3">P6+P10+P14+P22+P26+P30</f>
        <v>525</v>
      </c>
      <c r="Q42" s="1178">
        <f t="shared" si="3"/>
        <v>1170</v>
      </c>
      <c r="R42" s="1178">
        <f t="shared" si="3"/>
        <v>1182</v>
      </c>
      <c r="S42" s="1178">
        <f t="shared" si="3"/>
        <v>1381</v>
      </c>
      <c r="T42" s="1178">
        <f t="shared" si="3"/>
        <v>904</v>
      </c>
      <c r="U42" s="1179">
        <f t="shared" si="3"/>
        <v>89</v>
      </c>
      <c r="V42" s="1180">
        <f t="shared" si="3"/>
        <v>393</v>
      </c>
      <c r="W42" s="1178">
        <f t="shared" si="3"/>
        <v>1053</v>
      </c>
      <c r="X42" s="1178">
        <f t="shared" si="3"/>
        <v>1124</v>
      </c>
      <c r="Y42" s="1178">
        <f t="shared" si="3"/>
        <v>1224</v>
      </c>
      <c r="Z42" s="1178">
        <f t="shared" si="3"/>
        <v>935</v>
      </c>
      <c r="AA42" s="1178">
        <f t="shared" si="3"/>
        <v>116</v>
      </c>
      <c r="AB42" s="1182">
        <f t="shared" si="0"/>
        <v>4845</v>
      </c>
      <c r="AC42" s="1180">
        <v>670</v>
      </c>
      <c r="AD42" s="1181">
        <v>1461</v>
      </c>
      <c r="AE42" s="1181">
        <v>1509</v>
      </c>
      <c r="AF42" s="1181">
        <v>1487</v>
      </c>
      <c r="AG42" s="1179">
        <v>1207</v>
      </c>
      <c r="AH42" s="1181">
        <v>175</v>
      </c>
      <c r="AI42" s="1182">
        <f t="shared" si="1"/>
        <v>6509</v>
      </c>
      <c r="AJ42" s="1322">
        <v>991</v>
      </c>
      <c r="AK42" s="1181">
        <v>1660</v>
      </c>
      <c r="AL42" s="1181">
        <v>1655</v>
      </c>
      <c r="AM42" s="1181">
        <v>1553</v>
      </c>
      <c r="AN42" s="1179">
        <v>1299</v>
      </c>
      <c r="AO42" s="1181">
        <v>200</v>
      </c>
      <c r="AP42" s="1182">
        <f t="shared" si="2"/>
        <v>7358</v>
      </c>
      <c r="AQ42" s="2849">
        <v>1647</v>
      </c>
      <c r="AR42" s="2849">
        <v>2419</v>
      </c>
      <c r="AS42" s="2849">
        <v>2287</v>
      </c>
      <c r="AT42" s="2849">
        <v>1952</v>
      </c>
      <c r="AU42" s="2849">
        <v>1712</v>
      </c>
      <c r="AV42" s="2849">
        <v>295</v>
      </c>
      <c r="AW42" s="2845">
        <v>10312</v>
      </c>
      <c r="AX42" s="3153"/>
    </row>
    <row r="43" spans="2:50" ht="15" customHeight="1">
      <c r="B43" s="4053"/>
      <c r="C43" s="1183" t="s">
        <v>899</v>
      </c>
      <c r="D43" s="1184">
        <v>0</v>
      </c>
      <c r="E43" s="1185">
        <v>33</v>
      </c>
      <c r="F43" s="1185">
        <v>77</v>
      </c>
      <c r="G43" s="1185">
        <v>63</v>
      </c>
      <c r="H43" s="1185">
        <v>14</v>
      </c>
      <c r="I43" s="1186">
        <v>1</v>
      </c>
      <c r="J43" s="1187">
        <v>1</v>
      </c>
      <c r="K43" s="1185">
        <v>33</v>
      </c>
      <c r="L43" s="1185">
        <v>94</v>
      </c>
      <c r="M43" s="1185">
        <v>82</v>
      </c>
      <c r="N43" s="1185">
        <v>19</v>
      </c>
      <c r="O43" s="1188">
        <v>1</v>
      </c>
      <c r="P43" s="1189">
        <f t="shared" ref="P43:AA43" si="4">P7+P11+P15+P23+P27+P31</f>
        <v>0</v>
      </c>
      <c r="Q43" s="1190">
        <f t="shared" si="4"/>
        <v>29</v>
      </c>
      <c r="R43" s="1190">
        <f t="shared" si="4"/>
        <v>83</v>
      </c>
      <c r="S43" s="1190">
        <f t="shared" si="4"/>
        <v>65</v>
      </c>
      <c r="T43" s="1190">
        <f t="shared" si="4"/>
        <v>8</v>
      </c>
      <c r="U43" s="1191">
        <f t="shared" si="4"/>
        <v>0</v>
      </c>
      <c r="V43" s="1189">
        <f t="shared" si="4"/>
        <v>0</v>
      </c>
      <c r="W43" s="1190">
        <f t="shared" si="4"/>
        <v>5</v>
      </c>
      <c r="X43" s="1190">
        <f t="shared" si="4"/>
        <v>26</v>
      </c>
      <c r="Y43" s="1190">
        <f t="shared" si="4"/>
        <v>38</v>
      </c>
      <c r="Z43" s="1190">
        <f t="shared" si="4"/>
        <v>8</v>
      </c>
      <c r="AA43" s="1190">
        <f t="shared" si="4"/>
        <v>0</v>
      </c>
      <c r="AB43" s="1192">
        <f t="shared" si="0"/>
        <v>77</v>
      </c>
      <c r="AC43" s="1193">
        <v>0</v>
      </c>
      <c r="AD43" s="1193">
        <v>3</v>
      </c>
      <c r="AE43" s="1193">
        <v>39</v>
      </c>
      <c r="AF43" s="1193">
        <v>40</v>
      </c>
      <c r="AG43" s="1193">
        <v>2</v>
      </c>
      <c r="AH43" s="1190">
        <v>0</v>
      </c>
      <c r="AI43" s="1192">
        <f t="shared" si="1"/>
        <v>84</v>
      </c>
      <c r="AJ43" s="1323">
        <v>0</v>
      </c>
      <c r="AK43" s="1193">
        <v>5</v>
      </c>
      <c r="AL43" s="1193">
        <v>24</v>
      </c>
      <c r="AM43" s="1193">
        <v>39</v>
      </c>
      <c r="AN43" s="1193">
        <v>8</v>
      </c>
      <c r="AO43" s="1190">
        <v>0</v>
      </c>
      <c r="AP43" s="1192">
        <f t="shared" si="2"/>
        <v>76</v>
      </c>
      <c r="AQ43" s="1190">
        <v>15</v>
      </c>
      <c r="AR43" s="1190">
        <v>238</v>
      </c>
      <c r="AS43" s="1190">
        <v>396</v>
      </c>
      <c r="AT43" s="1190">
        <v>299</v>
      </c>
      <c r="AU43" s="1190">
        <v>150</v>
      </c>
      <c r="AV43" s="1190">
        <v>6</v>
      </c>
      <c r="AW43" s="2846">
        <f>SUM(AQ43:AV43)</f>
        <v>1104</v>
      </c>
    </row>
    <row r="44" spans="2:50" ht="15" customHeight="1">
      <c r="B44" s="4053"/>
      <c r="C44" s="1183" t="s">
        <v>902</v>
      </c>
      <c r="D44" s="1194">
        <v>0.13313313313313313</v>
      </c>
      <c r="E44" s="1195">
        <v>0.22293722293722293</v>
      </c>
      <c r="F44" s="1195">
        <v>0.20263120263120263</v>
      </c>
      <c r="G44" s="1195">
        <v>0.25253825253825252</v>
      </c>
      <c r="H44" s="1195">
        <v>0.16773916773916775</v>
      </c>
      <c r="I44" s="1196">
        <v>2.1021021021021023E-2</v>
      </c>
      <c r="J44" s="1197">
        <v>0.10799658508821855</v>
      </c>
      <c r="K44" s="1198">
        <v>0.22182697780307342</v>
      </c>
      <c r="L44" s="1198">
        <v>0.2083096186681844</v>
      </c>
      <c r="M44" s="1198">
        <v>0.25298804780876494</v>
      </c>
      <c r="N44" s="1198">
        <v>0.18468981217985203</v>
      </c>
      <c r="O44" s="1199">
        <v>2.4188958451906658E-2</v>
      </c>
      <c r="P44" s="1200">
        <f>IF(ISERROR(P42/(SUM($P$42:$U$42))),0,(P42/(SUM($P$42:$U$42))))</f>
        <v>9.9980956008379362E-2</v>
      </c>
      <c r="Q44" s="1200">
        <f t="shared" ref="Q44:U44" si="5">IF(ISERROR(Q42/(SUM($P$42:$U$42))),0,(Q42/(SUM($P$42:$U$42))))</f>
        <v>0.22281470196153114</v>
      </c>
      <c r="R44" s="1200">
        <f t="shared" si="5"/>
        <v>0.22509998095600839</v>
      </c>
      <c r="S44" s="1200">
        <f t="shared" si="5"/>
        <v>0.2629975242810893</v>
      </c>
      <c r="T44" s="1201">
        <f t="shared" si="5"/>
        <v>0.17215768425061892</v>
      </c>
      <c r="U44" s="1202">
        <f t="shared" si="5"/>
        <v>1.6949152542372881E-2</v>
      </c>
      <c r="V44" s="1200">
        <f>IF(ISERROR(V42/(SUM($V$42:$AA$42))),0,(V42/(SUM($V$42:$AA$42))))</f>
        <v>8.1114551083591335E-2</v>
      </c>
      <c r="W44" s="1200">
        <f t="shared" ref="W44:AA44" si="6">IF(ISERROR(W42/(SUM($V$42:$AA$42))),0,(W42/(SUM($V$42:$AA$42))))</f>
        <v>0.21733746130030959</v>
      </c>
      <c r="X44" s="1200">
        <f t="shared" si="6"/>
        <v>0.23199174406604747</v>
      </c>
      <c r="Y44" s="1200">
        <f t="shared" si="6"/>
        <v>0.25263157894736843</v>
      </c>
      <c r="Z44" s="1200">
        <f t="shared" si="6"/>
        <v>0.19298245614035087</v>
      </c>
      <c r="AA44" s="1336">
        <f t="shared" si="6"/>
        <v>2.39422084623323E-2</v>
      </c>
      <c r="AB44" s="1206" t="s">
        <v>132</v>
      </c>
      <c r="AC44" s="1203">
        <v>0.10293439852511907</v>
      </c>
      <c r="AD44" s="1204">
        <v>0.22445844215701335</v>
      </c>
      <c r="AE44" s="1204">
        <v>0.23183284682746966</v>
      </c>
      <c r="AF44" s="1204">
        <v>0.22845291135351053</v>
      </c>
      <c r="AG44" s="1205">
        <v>0.18543555077584883</v>
      </c>
      <c r="AH44" s="1324">
        <v>2.6885850361038563E-2</v>
      </c>
      <c r="AI44" s="1206" t="s">
        <v>132</v>
      </c>
      <c r="AJ44" s="2762">
        <v>0.13469999999999999</v>
      </c>
      <c r="AK44" s="2764">
        <v>0.22559999999999999</v>
      </c>
      <c r="AL44" s="2764">
        <v>0.22489999999999999</v>
      </c>
      <c r="AM44" s="2764">
        <v>0.21110000000000001</v>
      </c>
      <c r="AN44" s="2763">
        <v>0.17649999999999999</v>
      </c>
      <c r="AO44" s="1324">
        <v>2.7199999999999998E-2</v>
      </c>
      <c r="AP44" s="1206" t="s">
        <v>132</v>
      </c>
      <c r="AQ44" s="1324">
        <v>0.16</v>
      </c>
      <c r="AR44" s="1324">
        <v>0.23499999999999999</v>
      </c>
      <c r="AS44" s="1324">
        <v>0.222</v>
      </c>
      <c r="AT44" s="1324">
        <v>0.189</v>
      </c>
      <c r="AU44" s="1324">
        <v>0.16600000000000001</v>
      </c>
      <c r="AV44" s="1324">
        <v>2.9000000000000001E-2</v>
      </c>
      <c r="AW44" s="2847" t="s">
        <v>132</v>
      </c>
    </row>
    <row r="45" spans="2:50" ht="15" customHeight="1" thickBot="1">
      <c r="B45" s="4054"/>
      <c r="C45" s="1207" t="s">
        <v>903</v>
      </c>
      <c r="D45" s="1208">
        <v>0</v>
      </c>
      <c r="E45" s="1209">
        <v>0.17553191489361702</v>
      </c>
      <c r="F45" s="1209">
        <v>0.40957446808510639</v>
      </c>
      <c r="G45" s="1209">
        <v>0.33510638297872342</v>
      </c>
      <c r="H45" s="1209">
        <v>7.4468085106382975E-2</v>
      </c>
      <c r="I45" s="1210">
        <v>5.3191489361702126E-3</v>
      </c>
      <c r="J45" s="1211">
        <v>4.3478260869565218E-3</v>
      </c>
      <c r="K45" s="1212">
        <v>0.14347826086956522</v>
      </c>
      <c r="L45" s="1212">
        <v>0.40869565217391307</v>
      </c>
      <c r="M45" s="1212">
        <v>0.35652173913043478</v>
      </c>
      <c r="N45" s="1212">
        <v>8.2608695652173908E-2</v>
      </c>
      <c r="O45" s="1213">
        <v>4.3478260869565218E-3</v>
      </c>
      <c r="P45" s="1214">
        <f>IF(ISERROR(P43/(SUM($P$43:$U$43))),0,(P43/(SUM($P$43:$U$43))))</f>
        <v>0</v>
      </c>
      <c r="Q45" s="1214">
        <f t="shared" ref="Q45:U45" si="7">IF(ISERROR(Q43/(SUM($P$43:$U$43))),0,(Q43/(SUM($P$43:$U$43))))</f>
        <v>0.15675675675675677</v>
      </c>
      <c r="R45" s="1214">
        <f t="shared" si="7"/>
        <v>0.44864864864864867</v>
      </c>
      <c r="S45" s="1214">
        <f t="shared" si="7"/>
        <v>0.35135135135135137</v>
      </c>
      <c r="T45" s="1215">
        <f t="shared" si="7"/>
        <v>4.3243243243243246E-2</v>
      </c>
      <c r="U45" s="1216">
        <f t="shared" si="7"/>
        <v>0</v>
      </c>
      <c r="V45" s="1214">
        <f>IF(ISERROR(V43/(SUM($V$43:$AA$43))),0,(V43/(SUM($V$43:$AA$43))))</f>
        <v>0</v>
      </c>
      <c r="W45" s="1214">
        <f t="shared" ref="W45:AA45" si="8">IF(ISERROR(W43/(SUM($V$43:$AA$43))),0,(W43/(SUM($V$43:$AA$43))))</f>
        <v>6.4935064935064929E-2</v>
      </c>
      <c r="X45" s="1214">
        <f t="shared" si="8"/>
        <v>0.33766233766233766</v>
      </c>
      <c r="Y45" s="1214">
        <f t="shared" si="8"/>
        <v>0.4935064935064935</v>
      </c>
      <c r="Z45" s="1214">
        <f t="shared" si="8"/>
        <v>0.1038961038961039</v>
      </c>
      <c r="AA45" s="1215">
        <f t="shared" si="8"/>
        <v>0</v>
      </c>
      <c r="AB45" s="1216" t="s">
        <v>132</v>
      </c>
      <c r="AC45" s="1217">
        <v>0</v>
      </c>
      <c r="AD45" s="1214">
        <v>3.5714285714285712E-2</v>
      </c>
      <c r="AE45" s="1214">
        <v>0.4642857142857143</v>
      </c>
      <c r="AF45" s="1214">
        <v>0.47619047619047616</v>
      </c>
      <c r="AG45" s="1215">
        <v>2.3809523809523808E-2</v>
      </c>
      <c r="AH45" s="1325">
        <v>0</v>
      </c>
      <c r="AI45" s="2767" t="s">
        <v>132</v>
      </c>
      <c r="AJ45" s="2766">
        <v>0</v>
      </c>
      <c r="AK45" s="2765">
        <v>6.5799999999999997E-2</v>
      </c>
      <c r="AL45" s="2765">
        <v>0.31580000000000003</v>
      </c>
      <c r="AM45" s="2765">
        <v>0.51319999999999999</v>
      </c>
      <c r="AN45" s="2765">
        <v>0.1053</v>
      </c>
      <c r="AO45" s="2765">
        <v>0</v>
      </c>
      <c r="AP45" s="2768" t="s">
        <v>132</v>
      </c>
      <c r="AQ45" s="2850">
        <v>0.19600000000000001</v>
      </c>
      <c r="AR45" s="2851">
        <v>0.25</v>
      </c>
      <c r="AS45" s="2851">
        <v>0.22600000000000001</v>
      </c>
      <c r="AT45" s="2851">
        <v>0.17599999999999999</v>
      </c>
      <c r="AU45" s="2851">
        <v>0.13900000000000001</v>
      </c>
      <c r="AV45" s="2851">
        <v>1.4E-2</v>
      </c>
      <c r="AW45" s="2848" t="s">
        <v>132</v>
      </c>
    </row>
    <row r="46" spans="2:50">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Q46" s="6"/>
      <c r="AR46" s="6"/>
      <c r="AS46" s="6"/>
      <c r="AT46" s="6"/>
      <c r="AU46" s="6"/>
      <c r="AV46" s="6"/>
    </row>
    <row r="47" spans="2:50">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Q47" s="6"/>
      <c r="AR47" s="6"/>
      <c r="AS47" s="6"/>
      <c r="AT47" s="6"/>
      <c r="AU47" s="6"/>
      <c r="AV47" s="6"/>
    </row>
    <row r="48" spans="2:50" ht="14.45" thickBot="1">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720"/>
      <c r="AM48" s="720"/>
      <c r="AN48" s="720"/>
      <c r="AO48" s="720"/>
      <c r="AP48" s="136"/>
      <c r="AQ48" s="6"/>
      <c r="AR48" s="6"/>
      <c r="AS48" s="720"/>
      <c r="AT48" s="720"/>
      <c r="AU48" s="720"/>
      <c r="AV48" s="720"/>
      <c r="AW48" s="136"/>
    </row>
    <row r="49" spans="2:50" ht="14.65" customHeight="1" thickBot="1">
      <c r="B49" s="1218" t="s">
        <v>904</v>
      </c>
      <c r="C49" s="6"/>
      <c r="D49" s="6"/>
      <c r="E49" s="6"/>
      <c r="F49" s="6"/>
      <c r="G49" s="6"/>
      <c r="H49" s="6"/>
      <c r="I49" s="6"/>
      <c r="J49" s="6"/>
      <c r="K49" s="6"/>
      <c r="L49" s="6"/>
      <c r="M49" s="6"/>
      <c r="N49" s="6"/>
      <c r="O49" s="6"/>
      <c r="P49" s="720"/>
      <c r="Q49" s="720"/>
      <c r="R49" s="720"/>
      <c r="S49" s="720"/>
      <c r="T49" s="720"/>
      <c r="U49" s="3276"/>
      <c r="V49" s="4165" t="s">
        <v>905</v>
      </c>
      <c r="W49" s="4166"/>
      <c r="X49" s="4167" t="s">
        <v>906</v>
      </c>
      <c r="Y49" s="4167"/>
      <c r="Z49" s="4168" t="s">
        <v>907</v>
      </c>
      <c r="AA49" s="4167"/>
      <c r="AB49" s="2781" t="s">
        <v>620</v>
      </c>
      <c r="AC49" s="4075" t="s">
        <v>905</v>
      </c>
      <c r="AD49" s="4076"/>
      <c r="AE49" s="4161" t="s">
        <v>906</v>
      </c>
      <c r="AF49" s="4161"/>
      <c r="AG49" s="4162" t="s">
        <v>907</v>
      </c>
      <c r="AH49" s="4161"/>
      <c r="AI49" s="1328" t="s">
        <v>620</v>
      </c>
      <c r="AJ49" s="4075" t="s">
        <v>905</v>
      </c>
      <c r="AK49" s="4076"/>
      <c r="AL49" s="4077" t="s">
        <v>906</v>
      </c>
      <c r="AM49" s="4077"/>
      <c r="AN49" s="4078" t="s">
        <v>907</v>
      </c>
      <c r="AO49" s="4077"/>
      <c r="AP49" s="740" t="s">
        <v>620</v>
      </c>
      <c r="AQ49" s="4075" t="s">
        <v>905</v>
      </c>
      <c r="AR49" s="4076"/>
      <c r="AS49" s="4077" t="s">
        <v>906</v>
      </c>
      <c r="AT49" s="4077"/>
      <c r="AU49" s="4078" t="s">
        <v>907</v>
      </c>
      <c r="AV49" s="4077"/>
      <c r="AW49" s="740" t="s">
        <v>620</v>
      </c>
      <c r="AX49" s="744"/>
    </row>
    <row r="50" spans="2:50" ht="13.9" customHeight="1" thickBot="1">
      <c r="B50" s="4197" t="s">
        <v>183</v>
      </c>
      <c r="C50" s="3268" t="s">
        <v>908</v>
      </c>
      <c r="D50" s="6"/>
      <c r="E50" s="6"/>
      <c r="F50" s="6"/>
      <c r="G50" s="6"/>
      <c r="H50" s="6"/>
      <c r="I50" s="6"/>
      <c r="J50" s="6"/>
      <c r="K50" s="6"/>
      <c r="L50" s="6"/>
      <c r="M50" s="6"/>
      <c r="N50" s="6"/>
      <c r="O50" s="6"/>
      <c r="P50" s="3272"/>
      <c r="Q50" s="3273"/>
      <c r="R50" s="3274"/>
      <c r="S50" s="3273"/>
      <c r="T50" s="3275"/>
      <c r="U50" s="3274"/>
      <c r="V50" s="4169"/>
      <c r="W50" s="4170"/>
      <c r="X50" s="4171"/>
      <c r="Y50" s="4170"/>
      <c r="Z50" s="4170"/>
      <c r="AA50" s="4170"/>
      <c r="AB50" s="2779"/>
      <c r="AC50" s="4107">
        <v>1474</v>
      </c>
      <c r="AD50" s="4080"/>
      <c r="AE50" s="4079">
        <v>3045</v>
      </c>
      <c r="AF50" s="4080"/>
      <c r="AG50" s="4082">
        <v>2388</v>
      </c>
      <c r="AH50" s="4083"/>
      <c r="AI50" s="1326">
        <f>SUM(AC50:AH50)</f>
        <v>6907</v>
      </c>
      <c r="AJ50" s="4079">
        <v>1637</v>
      </c>
      <c r="AK50" s="4080"/>
      <c r="AL50" s="4079">
        <v>3392</v>
      </c>
      <c r="AM50" s="4080"/>
      <c r="AN50" s="4082">
        <v>2329</v>
      </c>
      <c r="AO50" s="4083"/>
      <c r="AP50" s="1326">
        <f>SUM(AJ50:AO50)</f>
        <v>7358</v>
      </c>
      <c r="AQ50" s="4180">
        <v>2638</v>
      </c>
      <c r="AR50" s="4181"/>
      <c r="AS50" s="4180">
        <v>4650</v>
      </c>
      <c r="AT50" s="4181"/>
      <c r="AU50" s="4182">
        <v>3024</v>
      </c>
      <c r="AV50" s="4183"/>
      <c r="AW50" s="1326">
        <f>SUM(AQ50:AV50)</f>
        <v>10312</v>
      </c>
    </row>
    <row r="51" spans="2:50" ht="14.45" thickBot="1">
      <c r="B51" s="4197"/>
      <c r="C51" s="2771" t="s">
        <v>909</v>
      </c>
      <c r="D51" s="6"/>
      <c r="E51" s="6"/>
      <c r="F51" s="6"/>
      <c r="G51" s="6"/>
      <c r="H51" s="6"/>
      <c r="I51" s="6"/>
      <c r="J51" s="6"/>
      <c r="K51" s="6"/>
      <c r="L51" s="6"/>
      <c r="M51" s="6"/>
      <c r="N51" s="6"/>
      <c r="O51" s="6"/>
      <c r="P51" s="3269"/>
      <c r="Q51" s="2775"/>
      <c r="R51" s="2776"/>
      <c r="S51" s="2775"/>
      <c r="T51" s="2777"/>
      <c r="U51" s="2776"/>
      <c r="V51" s="4172"/>
      <c r="W51" s="4173"/>
      <c r="X51" s="4174"/>
      <c r="Y51" s="4173"/>
      <c r="Z51" s="4173"/>
      <c r="AA51" s="4173"/>
      <c r="AB51" s="2782"/>
      <c r="AC51" s="4108">
        <v>0.21299999999999999</v>
      </c>
      <c r="AD51" s="4068"/>
      <c r="AE51" s="4109">
        <v>0.441</v>
      </c>
      <c r="AF51" s="4110"/>
      <c r="AG51" s="4067">
        <v>0.34599999999999997</v>
      </c>
      <c r="AH51" s="4068"/>
      <c r="AI51" s="1329" t="s">
        <v>132</v>
      </c>
      <c r="AJ51" s="4081">
        <f>AJ50/AP50</f>
        <v>0.22247893449306877</v>
      </c>
      <c r="AK51" s="4068"/>
      <c r="AL51" s="4065">
        <f>AL50/AP50</f>
        <v>0.46099483555313941</v>
      </c>
      <c r="AM51" s="4066"/>
      <c r="AN51" s="4067">
        <f>AN50/AP50</f>
        <v>0.31652622995379182</v>
      </c>
      <c r="AO51" s="4068"/>
      <c r="AP51" s="1329" t="s">
        <v>132</v>
      </c>
      <c r="AQ51" s="4184">
        <f>AQ50/AW50</f>
        <v>0.25581846392552365</v>
      </c>
      <c r="AR51" s="4185"/>
      <c r="AS51" s="4186">
        <f>AS50/AW50</f>
        <v>0.45093095422808377</v>
      </c>
      <c r="AT51" s="4185"/>
      <c r="AU51" s="4186">
        <f>AU50/AW50</f>
        <v>0.29325058184639258</v>
      </c>
      <c r="AV51" s="4185"/>
      <c r="AW51" s="1329" t="s">
        <v>132</v>
      </c>
    </row>
    <row r="52" spans="2:50" ht="13.9" customHeight="1">
      <c r="B52" s="4197"/>
      <c r="C52" s="2686" t="s">
        <v>900</v>
      </c>
      <c r="D52" s="2746"/>
      <c r="E52" s="2747"/>
      <c r="F52" s="2748"/>
      <c r="G52" s="2748"/>
      <c r="H52" s="2748"/>
      <c r="I52" s="2749"/>
      <c r="J52" s="2750"/>
      <c r="K52" s="2747"/>
      <c r="L52" s="2748"/>
      <c r="M52" s="2748"/>
      <c r="N52" s="2748"/>
      <c r="O52" s="2749"/>
      <c r="P52" s="3270"/>
      <c r="Q52" s="2772"/>
      <c r="R52" s="2772"/>
      <c r="S52" s="2773"/>
      <c r="T52" s="2772"/>
      <c r="U52" s="2774"/>
      <c r="V52" s="2778"/>
      <c r="W52" s="2741"/>
      <c r="X52" s="2741"/>
      <c r="Y52" s="2741"/>
      <c r="Z52" s="2741"/>
      <c r="AA52" s="2741"/>
      <c r="AB52" s="2780"/>
      <c r="AC52" s="2697"/>
      <c r="AD52" s="2695"/>
      <c r="AE52" s="2695"/>
      <c r="AF52" s="2695"/>
      <c r="AG52" s="2695"/>
      <c r="AH52" s="2695"/>
      <c r="AI52" s="2751"/>
      <c r="AJ52" s="2697"/>
      <c r="AK52" s="2695"/>
      <c r="AL52" s="2695"/>
      <c r="AM52" s="2695"/>
      <c r="AN52" s="2695"/>
      <c r="AO52" s="2695"/>
      <c r="AP52" s="2751"/>
      <c r="AQ52" s="4224">
        <v>1475</v>
      </c>
      <c r="AR52" s="4225"/>
      <c r="AS52" s="4228">
        <v>2855</v>
      </c>
      <c r="AT52" s="4225"/>
      <c r="AU52" s="4228">
        <v>2076</v>
      </c>
      <c r="AV52" s="4225"/>
      <c r="AW52" s="2733">
        <v>6406</v>
      </c>
    </row>
    <row r="53" spans="2:50" ht="15" customHeight="1">
      <c r="B53" s="4197"/>
      <c r="C53" s="2691" t="s">
        <v>901</v>
      </c>
      <c r="D53" s="2752"/>
      <c r="E53" s="2753"/>
      <c r="F53" s="2754"/>
      <c r="G53" s="2754"/>
      <c r="H53" s="2754"/>
      <c r="I53" s="2755"/>
      <c r="J53" s="2756"/>
      <c r="K53" s="2753"/>
      <c r="L53" s="2754"/>
      <c r="M53" s="2754"/>
      <c r="N53" s="2754"/>
      <c r="O53" s="2757"/>
      <c r="P53" s="3271"/>
      <c r="Q53" s="2769"/>
      <c r="R53" s="2769"/>
      <c r="S53" s="2769"/>
      <c r="T53" s="2769"/>
      <c r="U53" s="2770"/>
      <c r="V53" s="2706"/>
      <c r="W53" s="2706"/>
      <c r="X53" s="2706"/>
      <c r="Y53" s="2706"/>
      <c r="Z53" s="2706"/>
      <c r="AA53" s="2758"/>
      <c r="AB53" s="2707"/>
      <c r="AC53" s="2759"/>
      <c r="AD53" s="2706"/>
      <c r="AE53" s="2706"/>
      <c r="AF53" s="2706"/>
      <c r="AG53" s="2706"/>
      <c r="AH53" s="2759"/>
      <c r="AI53" s="2707"/>
      <c r="AJ53" s="2759"/>
      <c r="AK53" s="2706"/>
      <c r="AL53" s="2706"/>
      <c r="AM53" s="2706"/>
      <c r="AN53" s="2759"/>
      <c r="AO53" s="2759"/>
      <c r="AP53" s="2760"/>
      <c r="AQ53" s="4226">
        <v>1163</v>
      </c>
      <c r="AR53" s="4227"/>
      <c r="AS53" s="4229">
        <v>1795</v>
      </c>
      <c r="AT53" s="4227"/>
      <c r="AU53" s="4229">
        <v>948</v>
      </c>
      <c r="AV53" s="4227"/>
      <c r="AW53" s="2761">
        <v>3906</v>
      </c>
    </row>
    <row r="54" spans="2:50">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1321"/>
      <c r="AI54" s="1321"/>
      <c r="AJ54" s="6"/>
      <c r="AN54" s="6"/>
      <c r="AO54" s="6"/>
      <c r="AQ54" s="6"/>
      <c r="AU54" s="6"/>
      <c r="AV54" s="6"/>
    </row>
    <row r="55" spans="2:50" ht="17.45">
      <c r="B55" s="15" t="s">
        <v>910</v>
      </c>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Q55" s="6"/>
      <c r="AR55" s="6"/>
      <c r="AS55" s="6"/>
      <c r="AT55" s="6"/>
      <c r="AU55" s="6"/>
      <c r="AV55" s="6"/>
    </row>
    <row r="56" spans="2:50" ht="15" customHeight="1" thickBot="1">
      <c r="B56" s="15"/>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Q56" s="6"/>
      <c r="AR56" s="6"/>
      <c r="AS56" s="6"/>
      <c r="AT56" s="6"/>
      <c r="AU56" s="6"/>
      <c r="AV56" s="6"/>
    </row>
    <row r="57" spans="2:50" ht="14.25" customHeight="1">
      <c r="B57" s="4055" t="s">
        <v>788</v>
      </c>
      <c r="C57" s="1114" t="s">
        <v>162</v>
      </c>
      <c r="D57" s="4057" t="s">
        <v>12</v>
      </c>
      <c r="E57" s="4057"/>
      <c r="F57" s="4057"/>
      <c r="G57" s="4057"/>
      <c r="H57" s="4057"/>
      <c r="I57" s="4058"/>
      <c r="J57" s="4062" t="s">
        <v>13</v>
      </c>
      <c r="K57" s="4063"/>
      <c r="L57" s="4064"/>
      <c r="M57" s="1219"/>
      <c r="N57" s="1219"/>
      <c r="O57" s="1219"/>
      <c r="P57" s="4059" t="s">
        <v>14</v>
      </c>
      <c r="Q57" s="4060"/>
      <c r="R57" s="4061"/>
      <c r="S57" s="1219"/>
      <c r="T57" s="1219"/>
      <c r="U57" s="3314"/>
      <c r="V57" s="4060" t="s">
        <v>15</v>
      </c>
      <c r="W57" s="4060"/>
      <c r="X57" s="4060"/>
      <c r="Y57" s="4060"/>
      <c r="Z57" s="4060"/>
      <c r="AA57" s="4061"/>
      <c r="AB57" s="1330"/>
      <c r="AC57" s="4059" t="s">
        <v>16</v>
      </c>
      <c r="AD57" s="4060"/>
      <c r="AE57" s="4060"/>
      <c r="AF57" s="4060"/>
      <c r="AG57" s="4060"/>
      <c r="AH57" s="4061"/>
      <c r="AI57" s="1330"/>
      <c r="AJ57" s="4060" t="s">
        <v>163</v>
      </c>
      <c r="AK57" s="4060"/>
      <c r="AL57" s="4060"/>
      <c r="AM57" s="4060"/>
      <c r="AN57" s="4060"/>
      <c r="AO57" s="4061"/>
      <c r="AQ57" s="4059" t="s">
        <v>164</v>
      </c>
      <c r="AR57" s="4060"/>
      <c r="AS57" s="4060"/>
      <c r="AT57" s="4060"/>
      <c r="AU57" s="4060"/>
      <c r="AV57" s="4061"/>
    </row>
    <row r="58" spans="2:50" ht="27" thickBot="1">
      <c r="B58" s="4056"/>
      <c r="C58" s="2783" t="s">
        <v>911</v>
      </c>
      <c r="D58" s="1173"/>
      <c r="E58" s="1173"/>
      <c r="F58" s="1173"/>
      <c r="G58" s="1173"/>
      <c r="H58" s="1173"/>
      <c r="I58" s="1174"/>
      <c r="J58" s="1118" t="s">
        <v>912</v>
      </c>
      <c r="K58" s="1220" t="s">
        <v>913</v>
      </c>
      <c r="L58" s="1221" t="s">
        <v>914</v>
      </c>
      <c r="M58" s="1222"/>
      <c r="N58" s="1222"/>
      <c r="O58" s="1222"/>
      <c r="P58" s="1118" t="s">
        <v>912</v>
      </c>
      <c r="Q58" s="1220" t="s">
        <v>913</v>
      </c>
      <c r="R58" s="1221" t="s">
        <v>914</v>
      </c>
      <c r="S58" s="1223"/>
      <c r="T58" s="1223"/>
      <c r="U58" s="3313"/>
      <c r="V58" s="4088" t="s">
        <v>912</v>
      </c>
      <c r="W58" s="4085"/>
      <c r="X58" s="4086" t="s">
        <v>913</v>
      </c>
      <c r="Y58" s="4085"/>
      <c r="Z58" s="4084" t="s">
        <v>914</v>
      </c>
      <c r="AA58" s="4087"/>
      <c r="AB58" s="1331"/>
      <c r="AC58" s="4088" t="s">
        <v>912</v>
      </c>
      <c r="AD58" s="4085"/>
      <c r="AE58" s="4086" t="s">
        <v>913</v>
      </c>
      <c r="AF58" s="4085"/>
      <c r="AG58" s="4084" t="s">
        <v>914</v>
      </c>
      <c r="AH58" s="4084"/>
      <c r="AI58" s="1331"/>
      <c r="AJ58" s="4084" t="s">
        <v>912</v>
      </c>
      <c r="AK58" s="4085"/>
      <c r="AL58" s="4086" t="s">
        <v>913</v>
      </c>
      <c r="AM58" s="4085"/>
      <c r="AN58" s="4084" t="s">
        <v>914</v>
      </c>
      <c r="AO58" s="4087"/>
      <c r="AQ58" s="4088" t="s">
        <v>912</v>
      </c>
      <c r="AR58" s="4085"/>
      <c r="AS58" s="4086" t="s">
        <v>913</v>
      </c>
      <c r="AT58" s="4085"/>
      <c r="AU58" s="4084" t="s">
        <v>914</v>
      </c>
      <c r="AV58" s="4087"/>
    </row>
    <row r="59" spans="2:50" ht="15" customHeight="1">
      <c r="B59" s="4198" t="s">
        <v>279</v>
      </c>
      <c r="C59" s="2686" t="s">
        <v>898</v>
      </c>
      <c r="D59" s="1184"/>
      <c r="E59" s="1185"/>
      <c r="F59" s="1185"/>
      <c r="G59" s="1185"/>
      <c r="H59" s="1185"/>
      <c r="I59" s="1186"/>
      <c r="J59" s="1224" t="s">
        <v>24</v>
      </c>
      <c r="K59" s="1224" t="s">
        <v>24</v>
      </c>
      <c r="L59" s="1225" t="s">
        <v>24</v>
      </c>
      <c r="M59" s="1222"/>
      <c r="N59" s="1222"/>
      <c r="O59" s="1222"/>
      <c r="P59" s="3283" t="s">
        <v>24</v>
      </c>
      <c r="Q59" s="2137" t="s">
        <v>24</v>
      </c>
      <c r="R59" s="2865" t="s">
        <v>24</v>
      </c>
      <c r="S59" s="1223"/>
      <c r="T59" s="1223"/>
      <c r="U59" s="1223"/>
      <c r="V59" s="4145" t="s">
        <v>24</v>
      </c>
      <c r="W59" s="4112"/>
      <c r="X59" s="4111" t="s">
        <v>24</v>
      </c>
      <c r="Y59" s="4112"/>
      <c r="Z59" s="4113" t="s">
        <v>24</v>
      </c>
      <c r="AA59" s="4114"/>
      <c r="AB59" s="1332"/>
      <c r="AC59" s="4145">
        <v>2725</v>
      </c>
      <c r="AD59" s="4112"/>
      <c r="AE59" s="4111">
        <v>706</v>
      </c>
      <c r="AF59" s="4112"/>
      <c r="AG59" s="4113">
        <v>216</v>
      </c>
      <c r="AH59" s="4113"/>
      <c r="AI59" s="1332"/>
      <c r="AJ59" s="4113">
        <v>3029</v>
      </c>
      <c r="AK59" s="4112"/>
      <c r="AL59" s="4111">
        <v>916</v>
      </c>
      <c r="AM59" s="4112"/>
      <c r="AN59" s="4113">
        <v>206</v>
      </c>
      <c r="AO59" s="4114"/>
      <c r="AQ59" s="4145">
        <v>3263</v>
      </c>
      <c r="AR59" s="4112"/>
      <c r="AS59" s="4111">
        <v>1417</v>
      </c>
      <c r="AT59" s="4112"/>
      <c r="AU59" s="4113">
        <v>326</v>
      </c>
      <c r="AV59" s="4114"/>
    </row>
    <row r="60" spans="2:50" ht="15" customHeight="1">
      <c r="B60" s="4199"/>
      <c r="C60" s="2686" t="s">
        <v>899</v>
      </c>
      <c r="D60" s="1194"/>
      <c r="E60" s="1195"/>
      <c r="F60" s="1195"/>
      <c r="G60" s="1195"/>
      <c r="H60" s="1195"/>
      <c r="I60" s="1196"/>
      <c r="J60" s="1224" t="s">
        <v>24</v>
      </c>
      <c r="K60" s="1224" t="s">
        <v>24</v>
      </c>
      <c r="L60" s="1225" t="s">
        <v>24</v>
      </c>
      <c r="M60" s="1226"/>
      <c r="N60" s="1226"/>
      <c r="O60" s="1226"/>
      <c r="P60" s="3284" t="s">
        <v>24</v>
      </c>
      <c r="Q60" s="855" t="s">
        <v>24</v>
      </c>
      <c r="R60" s="2865" t="s">
        <v>24</v>
      </c>
      <c r="S60" s="1227"/>
      <c r="T60" s="1227"/>
      <c r="U60" s="1227"/>
      <c r="V60" s="4148" t="s">
        <v>24</v>
      </c>
      <c r="W60" s="4149"/>
      <c r="X60" s="4150" t="s">
        <v>24</v>
      </c>
      <c r="Y60" s="4149"/>
      <c r="Z60" s="4151" t="s">
        <v>24</v>
      </c>
      <c r="AA60" s="4152"/>
      <c r="AB60" s="1332"/>
      <c r="AC60" s="4146">
        <v>63</v>
      </c>
      <c r="AD60" s="4116"/>
      <c r="AE60" s="4115">
        <v>0</v>
      </c>
      <c r="AF60" s="4116"/>
      <c r="AG60" s="4117">
        <v>4</v>
      </c>
      <c r="AH60" s="4117"/>
      <c r="AI60" s="1332"/>
      <c r="AJ60" s="4117">
        <v>44</v>
      </c>
      <c r="AK60" s="4116"/>
      <c r="AL60" s="4115">
        <v>4</v>
      </c>
      <c r="AM60" s="4116"/>
      <c r="AN60" s="4117">
        <v>4</v>
      </c>
      <c r="AO60" s="4118"/>
      <c r="AQ60" s="4146">
        <v>477</v>
      </c>
      <c r="AR60" s="4116"/>
      <c r="AS60" s="4115">
        <v>71</v>
      </c>
      <c r="AT60" s="4116"/>
      <c r="AU60" s="4117">
        <v>37</v>
      </c>
      <c r="AV60" s="4118"/>
    </row>
    <row r="61" spans="2:50" ht="15" customHeight="1">
      <c r="B61" s="4199"/>
      <c r="C61" s="3247" t="s">
        <v>900</v>
      </c>
      <c r="D61" s="1194"/>
      <c r="E61" s="1195"/>
      <c r="F61" s="1195"/>
      <c r="G61" s="1195"/>
      <c r="H61" s="1195"/>
      <c r="I61" s="1196"/>
      <c r="J61" s="1224"/>
      <c r="K61" s="1224"/>
      <c r="L61" s="1225"/>
      <c r="M61" s="1226"/>
      <c r="N61" s="1226"/>
      <c r="O61" s="1226"/>
      <c r="P61" s="3279"/>
      <c r="Q61" s="3281"/>
      <c r="R61" s="3277"/>
      <c r="S61" s="1227"/>
      <c r="T61" s="1227"/>
      <c r="U61" s="1227"/>
      <c r="V61" s="4148"/>
      <c r="W61" s="4149"/>
      <c r="X61" s="2671"/>
      <c r="Y61" s="2670"/>
      <c r="Z61" s="2672"/>
      <c r="AA61" s="2673"/>
      <c r="AB61" s="1332"/>
      <c r="AC61" s="2794"/>
      <c r="AD61" s="2795"/>
      <c r="AE61" s="2796"/>
      <c r="AF61" s="2795"/>
      <c r="AG61" s="2797"/>
      <c r="AH61" s="2797"/>
      <c r="AI61" s="1332"/>
      <c r="AJ61" s="2797"/>
      <c r="AK61" s="2795"/>
      <c r="AL61" s="2796"/>
      <c r="AM61" s="2795"/>
      <c r="AN61" s="2797"/>
      <c r="AO61" s="2798"/>
      <c r="AQ61" s="4148">
        <v>2238</v>
      </c>
      <c r="AR61" s="4149"/>
      <c r="AS61" s="4150">
        <v>994</v>
      </c>
      <c r="AT61" s="4149"/>
      <c r="AU61" s="4150">
        <v>232</v>
      </c>
      <c r="AV61" s="4152"/>
    </row>
    <row r="62" spans="2:50" ht="15" customHeight="1" thickBot="1">
      <c r="B62" s="4200"/>
      <c r="C62" s="3248" t="s">
        <v>901</v>
      </c>
      <c r="D62" s="1194"/>
      <c r="E62" s="1195"/>
      <c r="F62" s="1195"/>
      <c r="G62" s="1195"/>
      <c r="H62" s="1195"/>
      <c r="I62" s="1196"/>
      <c r="J62" s="1224"/>
      <c r="K62" s="1224"/>
      <c r="L62" s="1225"/>
      <c r="M62" s="1226"/>
      <c r="N62" s="1226"/>
      <c r="O62" s="1226"/>
      <c r="P62" s="3280"/>
      <c r="Q62" s="3282"/>
      <c r="R62" s="3278"/>
      <c r="S62" s="1227"/>
      <c r="T62" s="1227"/>
      <c r="U62" s="1227"/>
      <c r="V62" s="4041"/>
      <c r="W62" s="4042"/>
      <c r="X62" s="2786"/>
      <c r="Y62" s="2785"/>
      <c r="Z62" s="2787"/>
      <c r="AA62" s="2788"/>
      <c r="AB62" s="1332"/>
      <c r="AC62" s="2784"/>
      <c r="AD62" s="2785"/>
      <c r="AE62" s="2786"/>
      <c r="AF62" s="2785"/>
      <c r="AG62" s="2787"/>
      <c r="AH62" s="2787"/>
      <c r="AI62" s="1332"/>
      <c r="AJ62" s="2787"/>
      <c r="AK62" s="2785"/>
      <c r="AL62" s="2786"/>
      <c r="AM62" s="2785"/>
      <c r="AN62" s="2787"/>
      <c r="AO62" s="2788"/>
      <c r="AQ62" s="4041">
        <v>1025</v>
      </c>
      <c r="AR62" s="4042"/>
      <c r="AS62" s="4043">
        <v>423</v>
      </c>
      <c r="AT62" s="4042"/>
      <c r="AU62" s="4043">
        <v>94</v>
      </c>
      <c r="AV62" s="4189"/>
    </row>
    <row r="63" spans="2:50" ht="15" customHeight="1">
      <c r="B63" s="4199" t="s">
        <v>274</v>
      </c>
      <c r="C63" s="2674" t="s">
        <v>898</v>
      </c>
      <c r="D63" s="1185"/>
      <c r="E63" s="1185"/>
      <c r="F63" s="1185"/>
      <c r="G63" s="1185"/>
      <c r="H63" s="1185"/>
      <c r="I63" s="1186"/>
      <c r="J63" s="1224" t="s">
        <v>24</v>
      </c>
      <c r="K63" s="1224" t="s">
        <v>24</v>
      </c>
      <c r="L63" s="1225" t="s">
        <v>24</v>
      </c>
      <c r="M63" s="1222"/>
      <c r="N63" s="1222"/>
      <c r="O63" s="1222"/>
      <c r="P63" s="1579" t="s">
        <v>24</v>
      </c>
      <c r="Q63" s="1580" t="s">
        <v>24</v>
      </c>
      <c r="R63" s="2866" t="s">
        <v>24</v>
      </c>
      <c r="S63" s="1223"/>
      <c r="T63" s="1223"/>
      <c r="U63" s="1223"/>
      <c r="V63" s="4145" t="s">
        <v>24</v>
      </c>
      <c r="W63" s="4112"/>
      <c r="X63" s="4111" t="s">
        <v>24</v>
      </c>
      <c r="Y63" s="4112"/>
      <c r="Z63" s="4113" t="s">
        <v>24</v>
      </c>
      <c r="AA63" s="4114"/>
      <c r="AB63" s="1332"/>
      <c r="AC63" s="4145">
        <v>591</v>
      </c>
      <c r="AD63" s="4112"/>
      <c r="AE63" s="4111">
        <v>98</v>
      </c>
      <c r="AF63" s="4112"/>
      <c r="AG63" s="4113">
        <v>60</v>
      </c>
      <c r="AH63" s="4113"/>
      <c r="AI63" s="1332"/>
      <c r="AJ63" s="4113">
        <v>655</v>
      </c>
      <c r="AK63" s="4112"/>
      <c r="AL63" s="4111">
        <v>140</v>
      </c>
      <c r="AM63" s="4112"/>
      <c r="AN63" s="4113">
        <v>54</v>
      </c>
      <c r="AO63" s="4114"/>
      <c r="AQ63" s="4145">
        <v>692</v>
      </c>
      <c r="AR63" s="4112"/>
      <c r="AS63" s="4111">
        <v>242</v>
      </c>
      <c r="AT63" s="4112"/>
      <c r="AU63" s="4113">
        <v>62</v>
      </c>
      <c r="AV63" s="4114"/>
    </row>
    <row r="64" spans="2:50" ht="15" customHeight="1">
      <c r="B64" s="4199"/>
      <c r="C64" s="2686" t="s">
        <v>899</v>
      </c>
      <c r="D64" s="1194"/>
      <c r="E64" s="1195"/>
      <c r="F64" s="1195"/>
      <c r="G64" s="1195"/>
      <c r="H64" s="1195"/>
      <c r="I64" s="1196"/>
      <c r="J64" s="1224" t="s">
        <v>24</v>
      </c>
      <c r="K64" s="1224" t="s">
        <v>24</v>
      </c>
      <c r="L64" s="1225" t="s">
        <v>24</v>
      </c>
      <c r="M64" s="1226"/>
      <c r="N64" s="1226"/>
      <c r="O64" s="1226"/>
      <c r="P64" s="3284" t="s">
        <v>24</v>
      </c>
      <c r="Q64" s="855" t="s">
        <v>24</v>
      </c>
      <c r="R64" s="2865" t="s">
        <v>24</v>
      </c>
      <c r="S64" s="1227"/>
      <c r="T64" s="1227"/>
      <c r="U64" s="1227"/>
      <c r="V64" s="4147" t="s">
        <v>24</v>
      </c>
      <c r="W64" s="4120"/>
      <c r="X64" s="4127" t="s">
        <v>24</v>
      </c>
      <c r="Y64" s="4120"/>
      <c r="Z64" s="4119" t="s">
        <v>24</v>
      </c>
      <c r="AA64" s="4128"/>
      <c r="AB64" s="1332"/>
      <c r="AC64" s="4147">
        <v>4</v>
      </c>
      <c r="AD64" s="4120"/>
      <c r="AE64" s="4127">
        <v>0</v>
      </c>
      <c r="AF64" s="4120"/>
      <c r="AG64" s="4119">
        <v>1</v>
      </c>
      <c r="AH64" s="4119"/>
      <c r="AI64" s="1332"/>
      <c r="AJ64" s="4119">
        <v>9</v>
      </c>
      <c r="AK64" s="4120"/>
      <c r="AL64" s="4127">
        <v>0</v>
      </c>
      <c r="AM64" s="4120"/>
      <c r="AN64" s="4119">
        <v>1</v>
      </c>
      <c r="AO64" s="4128"/>
      <c r="AP64" s="131"/>
      <c r="AQ64" s="4175">
        <v>84</v>
      </c>
      <c r="AR64" s="4176"/>
      <c r="AS64" s="4176">
        <v>5</v>
      </c>
      <c r="AT64" s="4176"/>
      <c r="AU64" s="4176">
        <v>8</v>
      </c>
      <c r="AV64" s="4177"/>
    </row>
    <row r="65" spans="2:51" ht="15" customHeight="1">
      <c r="B65" s="4199"/>
      <c r="C65" s="2829" t="s">
        <v>900</v>
      </c>
      <c r="D65" s="1194"/>
      <c r="E65" s="1195"/>
      <c r="F65" s="1195"/>
      <c r="G65" s="1195"/>
      <c r="H65" s="1195"/>
      <c r="I65" s="1196"/>
      <c r="J65" s="1224"/>
      <c r="K65" s="1224"/>
      <c r="L65" s="1225"/>
      <c r="M65" s="1226"/>
      <c r="N65" s="1226"/>
      <c r="O65" s="1226"/>
      <c r="P65" s="3285"/>
      <c r="Q65" s="3286"/>
      <c r="R65" s="3287"/>
      <c r="S65" s="1227"/>
      <c r="T65" s="1227"/>
      <c r="U65" s="1227"/>
      <c r="V65" s="4201"/>
      <c r="W65" s="4202"/>
      <c r="X65" s="4178"/>
      <c r="Y65" s="4175"/>
      <c r="Z65" s="4178"/>
      <c r="AA65" s="4179"/>
      <c r="AB65" s="2672"/>
      <c r="AC65" s="4196"/>
      <c r="AD65" s="4175"/>
      <c r="AE65" s="4178"/>
      <c r="AF65" s="4175"/>
      <c r="AG65" s="4178"/>
      <c r="AH65" s="4179"/>
      <c r="AI65" s="2672"/>
      <c r="AJ65" s="4196"/>
      <c r="AK65" s="4151"/>
      <c r="AL65" s="4178"/>
      <c r="AM65" s="4151"/>
      <c r="AN65" s="4178"/>
      <c r="AO65" s="4179"/>
      <c r="AP65" s="131"/>
      <c r="AQ65" s="4151">
        <v>412</v>
      </c>
      <c r="AR65" s="4175"/>
      <c r="AS65" s="4178">
        <v>128</v>
      </c>
      <c r="AT65" s="4175"/>
      <c r="AU65" s="4178">
        <v>42</v>
      </c>
      <c r="AV65" s="4179"/>
    </row>
    <row r="66" spans="2:51" ht="15" customHeight="1" thickBot="1">
      <c r="B66" s="4200"/>
      <c r="C66" s="2830" t="s">
        <v>901</v>
      </c>
      <c r="D66" s="1194"/>
      <c r="E66" s="1195"/>
      <c r="F66" s="1195"/>
      <c r="G66" s="1195"/>
      <c r="H66" s="1195"/>
      <c r="I66" s="1196"/>
      <c r="J66" s="1224"/>
      <c r="K66" s="1224"/>
      <c r="L66" s="1225"/>
      <c r="M66" s="1226"/>
      <c r="N66" s="1226"/>
      <c r="O66" s="1226"/>
      <c r="P66" s="3288"/>
      <c r="Q66" s="3289"/>
      <c r="R66" s="3290"/>
      <c r="S66" s="1227"/>
      <c r="T66" s="1227"/>
      <c r="U66" s="1227"/>
      <c r="V66" s="4196"/>
      <c r="W66" s="4175"/>
      <c r="X66" s="4178"/>
      <c r="Y66" s="4175"/>
      <c r="Z66" s="4178"/>
      <c r="AA66" s="4179"/>
      <c r="AB66" s="2672"/>
      <c r="AC66" s="4196"/>
      <c r="AD66" s="4175"/>
      <c r="AE66" s="4178"/>
      <c r="AF66" s="4175"/>
      <c r="AG66" s="4178"/>
      <c r="AH66" s="4179"/>
      <c r="AI66" s="2672"/>
      <c r="AJ66" s="4207"/>
      <c r="AK66" s="4130"/>
      <c r="AL66" s="4129"/>
      <c r="AM66" s="4130"/>
      <c r="AN66" s="4129"/>
      <c r="AO66" s="4206"/>
      <c r="AP66" s="131"/>
      <c r="AQ66" s="4151">
        <v>280</v>
      </c>
      <c r="AR66" s="4175"/>
      <c r="AS66" s="4178">
        <v>114</v>
      </c>
      <c r="AT66" s="4175"/>
      <c r="AU66" s="4178">
        <v>20</v>
      </c>
      <c r="AV66" s="4179"/>
      <c r="AY66" s="8" t="s">
        <v>196</v>
      </c>
    </row>
    <row r="67" spans="2:51" ht="15" customHeight="1">
      <c r="B67" s="4199" t="s">
        <v>278</v>
      </c>
      <c r="C67" s="2954" t="s">
        <v>898</v>
      </c>
      <c r="D67" s="1184"/>
      <c r="E67" s="1185"/>
      <c r="F67" s="1185"/>
      <c r="G67" s="1185"/>
      <c r="H67" s="1185"/>
      <c r="I67" s="1186"/>
      <c r="J67" s="1224" t="s">
        <v>24</v>
      </c>
      <c r="K67" s="1224" t="s">
        <v>24</v>
      </c>
      <c r="L67" s="1225" t="s">
        <v>24</v>
      </c>
      <c r="M67" s="1222"/>
      <c r="N67" s="1222"/>
      <c r="O67" s="1222"/>
      <c r="P67" s="1579" t="s">
        <v>24</v>
      </c>
      <c r="Q67" s="1580" t="s">
        <v>24</v>
      </c>
      <c r="R67" s="2866" t="s">
        <v>24</v>
      </c>
      <c r="S67" s="1223"/>
      <c r="T67" s="1223"/>
      <c r="U67" s="1223"/>
      <c r="V67" s="4032" t="s">
        <v>24</v>
      </c>
      <c r="W67" s="4033"/>
      <c r="X67" s="4034" t="s">
        <v>24</v>
      </c>
      <c r="Y67" s="4033"/>
      <c r="Z67" s="4035" t="s">
        <v>24</v>
      </c>
      <c r="AA67" s="4036"/>
      <c r="AB67" s="1332" t="s">
        <v>196</v>
      </c>
      <c r="AC67" s="4032">
        <v>1649</v>
      </c>
      <c r="AD67" s="4033"/>
      <c r="AE67" s="4034">
        <v>291</v>
      </c>
      <c r="AF67" s="4033"/>
      <c r="AG67" s="4035">
        <v>75</v>
      </c>
      <c r="AH67" s="4035"/>
      <c r="AI67" s="1332"/>
      <c r="AJ67" s="4035">
        <v>1806</v>
      </c>
      <c r="AK67" s="4033"/>
      <c r="AL67" s="4034">
        <v>411</v>
      </c>
      <c r="AM67" s="4033"/>
      <c r="AN67" s="4035">
        <v>76</v>
      </c>
      <c r="AO67" s="4036"/>
      <c r="AQ67" s="4032">
        <v>1585</v>
      </c>
      <c r="AR67" s="4033"/>
      <c r="AS67" s="4034">
        <v>1121</v>
      </c>
      <c r="AT67" s="4033"/>
      <c r="AU67" s="4035">
        <v>116</v>
      </c>
      <c r="AV67" s="4036"/>
    </row>
    <row r="68" spans="2:51" ht="15" customHeight="1" thickBot="1">
      <c r="B68" s="4199"/>
      <c r="C68" s="2686" t="s">
        <v>899</v>
      </c>
      <c r="D68" s="1194"/>
      <c r="E68" s="1195"/>
      <c r="F68" s="1195"/>
      <c r="G68" s="1195"/>
      <c r="H68" s="1195"/>
      <c r="I68" s="1196"/>
      <c r="J68" s="1224" t="s">
        <v>24</v>
      </c>
      <c r="K68" s="1224" t="s">
        <v>24</v>
      </c>
      <c r="L68" s="1225" t="s">
        <v>24</v>
      </c>
      <c r="M68" s="1226"/>
      <c r="N68" s="1226"/>
      <c r="O68" s="1226"/>
      <c r="P68" s="3284" t="s">
        <v>24</v>
      </c>
      <c r="Q68" s="855" t="s">
        <v>24</v>
      </c>
      <c r="R68" s="2865" t="s">
        <v>24</v>
      </c>
      <c r="S68" s="1227"/>
      <c r="T68" s="1227"/>
      <c r="U68" s="1227"/>
      <c r="V68" s="4044" t="s">
        <v>24</v>
      </c>
      <c r="W68" s="4045"/>
      <c r="X68" s="4046" t="s">
        <v>24</v>
      </c>
      <c r="Y68" s="4045"/>
      <c r="Z68" s="4047" t="s">
        <v>24</v>
      </c>
      <c r="AA68" s="4048"/>
      <c r="AB68" s="1332"/>
      <c r="AC68" s="4044">
        <v>10</v>
      </c>
      <c r="AD68" s="4045"/>
      <c r="AE68" s="4046">
        <v>0</v>
      </c>
      <c r="AF68" s="4045"/>
      <c r="AG68" s="4047">
        <v>0</v>
      </c>
      <c r="AH68" s="4047"/>
      <c r="AI68" s="1332"/>
      <c r="AJ68" s="4047">
        <v>8</v>
      </c>
      <c r="AK68" s="4045"/>
      <c r="AL68" s="4046">
        <v>0</v>
      </c>
      <c r="AM68" s="4045"/>
      <c r="AN68" s="4047">
        <v>0</v>
      </c>
      <c r="AO68" s="4048"/>
      <c r="AQ68" s="4044">
        <v>176</v>
      </c>
      <c r="AR68" s="4045"/>
      <c r="AS68" s="4046">
        <v>52</v>
      </c>
      <c r="AT68" s="4045"/>
      <c r="AU68" s="4047">
        <v>8</v>
      </c>
      <c r="AV68" s="4048"/>
    </row>
    <row r="69" spans="2:51" ht="15" customHeight="1">
      <c r="B69" s="4199"/>
      <c r="C69" s="2829" t="s">
        <v>900</v>
      </c>
      <c r="D69" s="1194"/>
      <c r="E69" s="1195"/>
      <c r="F69" s="1195"/>
      <c r="G69" s="1195"/>
      <c r="H69" s="1195"/>
      <c r="I69" s="1196"/>
      <c r="J69" s="1224"/>
      <c r="K69" s="1224"/>
      <c r="L69" s="1225"/>
      <c r="M69" s="1226"/>
      <c r="N69" s="1226"/>
      <c r="O69" s="1226"/>
      <c r="P69" s="3285"/>
      <c r="Q69" s="3291"/>
      <c r="R69" s="3287"/>
      <c r="S69" s="1227"/>
      <c r="T69" s="1227"/>
      <c r="U69" s="1227"/>
      <c r="V69" s="4037"/>
      <c r="W69" s="4038"/>
      <c r="X69" s="4039"/>
      <c r="Y69" s="4040"/>
      <c r="Z69" s="2672"/>
      <c r="AA69" s="2673"/>
      <c r="AB69" s="1332"/>
      <c r="AC69" s="2669"/>
      <c r="AD69" s="2670"/>
      <c r="AE69" s="2671"/>
      <c r="AF69" s="2670"/>
      <c r="AG69" s="2672"/>
      <c r="AH69" s="2672"/>
      <c r="AI69" s="1332"/>
      <c r="AJ69" s="2672"/>
      <c r="AK69" s="2670"/>
      <c r="AL69" s="2671"/>
      <c r="AM69" s="2670"/>
      <c r="AN69" s="2672"/>
      <c r="AO69" s="2673"/>
      <c r="AQ69" s="4037">
        <v>993</v>
      </c>
      <c r="AR69" s="4038"/>
      <c r="AS69" s="4187">
        <v>599</v>
      </c>
      <c r="AT69" s="4038"/>
      <c r="AU69" s="4187">
        <v>65</v>
      </c>
      <c r="AV69" s="4188"/>
    </row>
    <row r="70" spans="2:51" ht="15" customHeight="1" thickBot="1">
      <c r="B70" s="4200"/>
      <c r="C70" s="2830" t="s">
        <v>901</v>
      </c>
      <c r="D70" s="1194"/>
      <c r="E70" s="1195"/>
      <c r="F70" s="1195"/>
      <c r="G70" s="1195"/>
      <c r="H70" s="1195"/>
      <c r="I70" s="1196"/>
      <c r="J70" s="1224"/>
      <c r="K70" s="1224"/>
      <c r="L70" s="1225"/>
      <c r="M70" s="1226"/>
      <c r="N70" s="1226"/>
      <c r="O70" s="1226"/>
      <c r="P70" s="3288"/>
      <c r="Q70" s="3289"/>
      <c r="R70" s="3290"/>
      <c r="S70" s="1227"/>
      <c r="T70" s="1227"/>
      <c r="U70" s="1227"/>
      <c r="V70" s="4041"/>
      <c r="W70" s="4042"/>
      <c r="X70" s="4043"/>
      <c r="Y70" s="4042"/>
      <c r="Z70" s="2787"/>
      <c r="AA70" s="2788"/>
      <c r="AB70" s="1332"/>
      <c r="AC70" s="2784"/>
      <c r="AD70" s="2785"/>
      <c r="AE70" s="2786"/>
      <c r="AF70" s="2785"/>
      <c r="AG70" s="2787"/>
      <c r="AH70" s="2787"/>
      <c r="AI70" s="1332"/>
      <c r="AJ70" s="2787"/>
      <c r="AK70" s="2785"/>
      <c r="AL70" s="2786"/>
      <c r="AM70" s="2785"/>
      <c r="AN70" s="2787"/>
      <c r="AO70" s="2788"/>
      <c r="AQ70" s="4041">
        <v>592</v>
      </c>
      <c r="AR70" s="4042"/>
      <c r="AS70" s="4043">
        <v>522</v>
      </c>
      <c r="AT70" s="4042"/>
      <c r="AU70" s="4043">
        <v>51</v>
      </c>
      <c r="AV70" s="4189"/>
    </row>
    <row r="71" spans="2:51" ht="15" customHeight="1">
      <c r="B71" s="4030" t="s">
        <v>176</v>
      </c>
      <c r="C71" s="2954" t="s">
        <v>898</v>
      </c>
      <c r="D71" s="1184"/>
      <c r="E71" s="1185"/>
      <c r="F71" s="1185"/>
      <c r="G71" s="1185"/>
      <c r="H71" s="1185"/>
      <c r="I71" s="1186"/>
      <c r="J71" s="1224" t="s">
        <v>24</v>
      </c>
      <c r="K71" s="1224" t="s">
        <v>24</v>
      </c>
      <c r="L71" s="1225" t="s">
        <v>24</v>
      </c>
      <c r="M71" s="1222"/>
      <c r="N71" s="1222"/>
      <c r="O71" s="1222"/>
      <c r="P71" s="1579"/>
      <c r="Q71" s="1580"/>
      <c r="R71" s="2866"/>
      <c r="S71" s="1223"/>
      <c r="T71" s="1223"/>
      <c r="U71" s="1223"/>
      <c r="V71" s="4032"/>
      <c r="W71" s="4033"/>
      <c r="X71" s="4034"/>
      <c r="Y71" s="4033"/>
      <c r="Z71" s="4035"/>
      <c r="AA71" s="4036"/>
      <c r="AB71" s="1332"/>
      <c r="AC71" s="4032"/>
      <c r="AD71" s="4033"/>
      <c r="AE71" s="4034"/>
      <c r="AF71" s="4033"/>
      <c r="AG71" s="4035"/>
      <c r="AH71" s="4035"/>
      <c r="AI71" s="1332"/>
      <c r="AJ71" s="4035"/>
      <c r="AK71" s="4033"/>
      <c r="AL71" s="4034"/>
      <c r="AM71" s="4033"/>
      <c r="AN71" s="4035"/>
      <c r="AO71" s="4036"/>
      <c r="AQ71" s="4032">
        <v>433</v>
      </c>
      <c r="AR71" s="4033"/>
      <c r="AS71" s="4034">
        <v>281</v>
      </c>
      <c r="AT71" s="4033"/>
      <c r="AU71" s="4035">
        <v>52</v>
      </c>
      <c r="AV71" s="4036"/>
    </row>
    <row r="72" spans="2:51" ht="15" customHeight="1" thickBot="1">
      <c r="B72" s="4030"/>
      <c r="C72" s="2686" t="s">
        <v>899</v>
      </c>
      <c r="D72" s="1194"/>
      <c r="E72" s="1195"/>
      <c r="F72" s="1195"/>
      <c r="G72" s="1195"/>
      <c r="H72" s="1195"/>
      <c r="I72" s="1196"/>
      <c r="J72" s="1224" t="s">
        <v>24</v>
      </c>
      <c r="K72" s="1224" t="s">
        <v>24</v>
      </c>
      <c r="L72" s="1225" t="s">
        <v>24</v>
      </c>
      <c r="M72" s="1226"/>
      <c r="N72" s="1226"/>
      <c r="O72" s="1226"/>
      <c r="P72" s="3284"/>
      <c r="Q72" s="855"/>
      <c r="R72" s="2865"/>
      <c r="S72" s="1227"/>
      <c r="T72" s="1227"/>
      <c r="U72" s="1227"/>
      <c r="V72" s="4044"/>
      <c r="W72" s="4045"/>
      <c r="X72" s="4046"/>
      <c r="Y72" s="4045"/>
      <c r="Z72" s="4047"/>
      <c r="AA72" s="4048"/>
      <c r="AB72" s="1332"/>
      <c r="AC72" s="4044"/>
      <c r="AD72" s="4045"/>
      <c r="AE72" s="4046"/>
      <c r="AF72" s="4045"/>
      <c r="AG72" s="4047"/>
      <c r="AH72" s="4047"/>
      <c r="AI72" s="1332"/>
      <c r="AJ72" s="4047"/>
      <c r="AK72" s="4045"/>
      <c r="AL72" s="4046"/>
      <c r="AM72" s="4045"/>
      <c r="AN72" s="4047"/>
      <c r="AO72" s="4048"/>
      <c r="AQ72" s="4044">
        <v>103</v>
      </c>
      <c r="AR72" s="4045"/>
      <c r="AS72" s="4046">
        <v>24</v>
      </c>
      <c r="AT72" s="4045"/>
      <c r="AU72" s="4047">
        <v>14</v>
      </c>
      <c r="AV72" s="4048"/>
    </row>
    <row r="73" spans="2:51" ht="15" customHeight="1">
      <c r="B73" s="4030"/>
      <c r="C73" s="2829" t="s">
        <v>900</v>
      </c>
      <c r="D73" s="1194"/>
      <c r="E73" s="1195"/>
      <c r="F73" s="1195"/>
      <c r="G73" s="1195"/>
      <c r="H73" s="1195"/>
      <c r="I73" s="1196"/>
      <c r="J73" s="1224"/>
      <c r="K73" s="1224"/>
      <c r="L73" s="1225"/>
      <c r="M73" s="1226"/>
      <c r="N73" s="1226"/>
      <c r="O73" s="1226"/>
      <c r="P73" s="3285"/>
      <c r="Q73" s="3291"/>
      <c r="R73" s="3287"/>
      <c r="S73" s="1227"/>
      <c r="T73" s="1227"/>
      <c r="U73" s="1227"/>
      <c r="V73" s="4037"/>
      <c r="W73" s="4038"/>
      <c r="X73" s="4039"/>
      <c r="Y73" s="4040"/>
      <c r="Z73" s="2672"/>
      <c r="AA73" s="2673"/>
      <c r="AB73" s="1332"/>
      <c r="AC73" s="2669"/>
      <c r="AD73" s="2670"/>
      <c r="AE73" s="2671"/>
      <c r="AF73" s="2670"/>
      <c r="AG73" s="2672"/>
      <c r="AH73" s="2672"/>
      <c r="AI73" s="1332"/>
      <c r="AJ73" s="2672"/>
      <c r="AK73" s="2670"/>
      <c r="AL73" s="2671"/>
      <c r="AM73" s="2670"/>
      <c r="AN73" s="2672"/>
      <c r="AO73" s="2673"/>
      <c r="AQ73" s="4037">
        <v>203</v>
      </c>
      <c r="AR73" s="4038"/>
      <c r="AS73" s="4187">
        <v>138</v>
      </c>
      <c r="AT73" s="4038"/>
      <c r="AU73" s="4187">
        <v>23</v>
      </c>
      <c r="AV73" s="4188"/>
    </row>
    <row r="74" spans="2:51" ht="15" customHeight="1" thickBot="1">
      <c r="B74" s="4031"/>
      <c r="C74" s="2830" t="s">
        <v>901</v>
      </c>
      <c r="D74" s="1194"/>
      <c r="E74" s="1195"/>
      <c r="F74" s="1195"/>
      <c r="G74" s="1195"/>
      <c r="H74" s="1195"/>
      <c r="I74" s="1196"/>
      <c r="J74" s="1224"/>
      <c r="K74" s="1224"/>
      <c r="L74" s="1225"/>
      <c r="M74" s="1226"/>
      <c r="N74" s="1226"/>
      <c r="O74" s="1226"/>
      <c r="P74" s="3288"/>
      <c r="Q74" s="3289"/>
      <c r="R74" s="3290"/>
      <c r="S74" s="1227"/>
      <c r="T74" s="1227"/>
      <c r="U74" s="1227"/>
      <c r="V74" s="4041"/>
      <c r="W74" s="4042"/>
      <c r="X74" s="4043"/>
      <c r="Y74" s="4042"/>
      <c r="Z74" s="2787"/>
      <c r="AA74" s="2788"/>
      <c r="AB74" s="1332"/>
      <c r="AC74" s="2784"/>
      <c r="AD74" s="2785"/>
      <c r="AE74" s="2786"/>
      <c r="AF74" s="2785"/>
      <c r="AG74" s="2787"/>
      <c r="AH74" s="2787"/>
      <c r="AI74" s="1332"/>
      <c r="AJ74" s="2787"/>
      <c r="AK74" s="2785"/>
      <c r="AL74" s="2786"/>
      <c r="AM74" s="2785"/>
      <c r="AN74" s="2787"/>
      <c r="AO74" s="2788"/>
      <c r="AQ74" s="4041">
        <v>230</v>
      </c>
      <c r="AR74" s="4042"/>
      <c r="AS74" s="4043">
        <v>143</v>
      </c>
      <c r="AT74" s="4042"/>
      <c r="AU74" s="4043">
        <v>29</v>
      </c>
      <c r="AV74" s="4189"/>
    </row>
    <row r="75" spans="2:51" ht="15" customHeight="1">
      <c r="B75" s="4199" t="s">
        <v>177</v>
      </c>
      <c r="C75" s="2674" t="s">
        <v>898</v>
      </c>
      <c r="D75" s="1185"/>
      <c r="E75" s="1185"/>
      <c r="F75" s="1185"/>
      <c r="G75" s="1185"/>
      <c r="H75" s="1185"/>
      <c r="I75" s="1186"/>
      <c r="J75" s="1224" t="s">
        <v>24</v>
      </c>
      <c r="K75" s="1224" t="s">
        <v>24</v>
      </c>
      <c r="L75" s="1225" t="s">
        <v>24</v>
      </c>
      <c r="M75" s="1222"/>
      <c r="N75" s="1222"/>
      <c r="O75" s="1222"/>
      <c r="P75" s="3292" t="s">
        <v>24</v>
      </c>
      <c r="Q75" s="1580" t="s">
        <v>24</v>
      </c>
      <c r="R75" s="2866" t="s">
        <v>24</v>
      </c>
      <c r="S75" s="1223"/>
      <c r="T75" s="1223"/>
      <c r="U75" s="1223"/>
      <c r="V75" s="4032" t="s">
        <v>24</v>
      </c>
      <c r="W75" s="4033"/>
      <c r="X75" s="4034" t="s">
        <v>24</v>
      </c>
      <c r="Y75" s="4033"/>
      <c r="Z75" s="4035" t="s">
        <v>24</v>
      </c>
      <c r="AA75" s="4036"/>
      <c r="AB75" s="1332"/>
      <c r="AC75" s="4032">
        <v>8</v>
      </c>
      <c r="AD75" s="4033"/>
      <c r="AE75" s="4034">
        <v>0</v>
      </c>
      <c r="AF75" s="4033"/>
      <c r="AG75" s="4035">
        <v>1</v>
      </c>
      <c r="AH75" s="4035"/>
      <c r="AI75" s="1332"/>
      <c r="AJ75" s="4035">
        <v>9</v>
      </c>
      <c r="AK75" s="4033"/>
      <c r="AL75" s="4034">
        <v>0</v>
      </c>
      <c r="AM75" s="4033"/>
      <c r="AN75" s="4035">
        <v>1</v>
      </c>
      <c r="AO75" s="4036"/>
      <c r="AQ75" s="4032">
        <v>8</v>
      </c>
      <c r="AR75" s="4033"/>
      <c r="AS75" s="4034">
        <v>3</v>
      </c>
      <c r="AT75" s="4033"/>
      <c r="AU75" s="4035">
        <v>0</v>
      </c>
      <c r="AV75" s="4036"/>
    </row>
    <row r="76" spans="2:51" ht="15" customHeight="1">
      <c r="B76" s="4199"/>
      <c r="C76" s="2686" t="s">
        <v>899</v>
      </c>
      <c r="D76" s="1194"/>
      <c r="E76" s="1195"/>
      <c r="F76" s="1195"/>
      <c r="G76" s="1195"/>
      <c r="H76" s="1195"/>
      <c r="I76" s="1196"/>
      <c r="J76" s="1224" t="s">
        <v>24</v>
      </c>
      <c r="K76" s="1224" t="s">
        <v>24</v>
      </c>
      <c r="L76" s="1225" t="s">
        <v>24</v>
      </c>
      <c r="M76" s="1226"/>
      <c r="N76" s="1226"/>
      <c r="O76" s="1226"/>
      <c r="P76" s="3284" t="s">
        <v>24</v>
      </c>
      <c r="Q76" s="855" t="s">
        <v>24</v>
      </c>
      <c r="R76" s="2865" t="s">
        <v>24</v>
      </c>
      <c r="S76" s="1227"/>
      <c r="T76" s="1227"/>
      <c r="U76" s="1227"/>
      <c r="V76" s="4145" t="s">
        <v>24</v>
      </c>
      <c r="W76" s="4112"/>
      <c r="X76" s="4111" t="s">
        <v>24</v>
      </c>
      <c r="Y76" s="4112"/>
      <c r="Z76" s="4113" t="s">
        <v>24</v>
      </c>
      <c r="AA76" s="4114"/>
      <c r="AB76" s="1332"/>
      <c r="AC76" s="4145">
        <v>2</v>
      </c>
      <c r="AD76" s="4112"/>
      <c r="AE76" s="4111">
        <v>0</v>
      </c>
      <c r="AF76" s="4112"/>
      <c r="AG76" s="4113">
        <v>1</v>
      </c>
      <c r="AH76" s="4113"/>
      <c r="AI76" s="1332"/>
      <c r="AJ76" s="4113">
        <v>4</v>
      </c>
      <c r="AK76" s="4112"/>
      <c r="AL76" s="4111">
        <v>0</v>
      </c>
      <c r="AM76" s="4112"/>
      <c r="AN76" s="4113">
        <v>1</v>
      </c>
      <c r="AO76" s="4114"/>
      <c r="AQ76" s="4145">
        <v>5</v>
      </c>
      <c r="AR76" s="4112"/>
      <c r="AS76" s="4111">
        <v>0</v>
      </c>
      <c r="AT76" s="4112"/>
      <c r="AU76" s="4113">
        <v>0</v>
      </c>
      <c r="AV76" s="4114"/>
    </row>
    <row r="77" spans="2:51" ht="15" customHeight="1">
      <c r="B77" s="4199"/>
      <c r="C77" s="2693" t="s">
        <v>900</v>
      </c>
      <c r="D77" s="1194"/>
      <c r="E77" s="1195"/>
      <c r="F77" s="1195"/>
      <c r="G77" s="1195"/>
      <c r="H77" s="1195"/>
      <c r="I77" s="1196"/>
      <c r="J77" s="1224"/>
      <c r="K77" s="1224"/>
      <c r="L77" s="1225"/>
      <c r="M77" s="1226"/>
      <c r="N77" s="1226"/>
      <c r="O77" s="1226"/>
      <c r="P77" s="3285"/>
      <c r="Q77" s="3291"/>
      <c r="R77" s="3287"/>
      <c r="S77" s="1227"/>
      <c r="T77" s="1227"/>
      <c r="U77" s="1227"/>
      <c r="V77" s="4148"/>
      <c r="W77" s="4149"/>
      <c r="X77" s="4150"/>
      <c r="Y77" s="4149"/>
      <c r="Z77" s="2792"/>
      <c r="AA77" s="2793"/>
      <c r="AB77" s="1332"/>
      <c r="AC77" s="4148"/>
      <c r="AD77" s="4149"/>
      <c r="AE77" s="4150"/>
      <c r="AF77" s="4149"/>
      <c r="AG77" s="4150"/>
      <c r="AH77" s="4152"/>
      <c r="AI77" s="1332"/>
      <c r="AJ77" s="2792"/>
      <c r="AK77" s="2790"/>
      <c r="AL77" s="2791"/>
      <c r="AM77" s="2790"/>
      <c r="AN77" s="2792"/>
      <c r="AO77" s="2793"/>
      <c r="AQ77" s="4148">
        <v>7</v>
      </c>
      <c r="AR77" s="4149"/>
      <c r="AS77" s="4150">
        <v>2</v>
      </c>
      <c r="AT77" s="4149"/>
      <c r="AU77" s="4150">
        <v>0</v>
      </c>
      <c r="AV77" s="4152"/>
    </row>
    <row r="78" spans="2:51" ht="15" customHeight="1" thickBot="1">
      <c r="B78" s="4199"/>
      <c r="C78" s="2709" t="s">
        <v>901</v>
      </c>
      <c r="D78" s="1194"/>
      <c r="E78" s="1195"/>
      <c r="F78" s="1195"/>
      <c r="G78" s="1195"/>
      <c r="H78" s="1195"/>
      <c r="I78" s="1196"/>
      <c r="J78" s="1224"/>
      <c r="K78" s="1224"/>
      <c r="L78" s="1225"/>
      <c r="M78" s="1226"/>
      <c r="N78" s="1226"/>
      <c r="O78" s="1226"/>
      <c r="P78" s="3288"/>
      <c r="Q78" s="3289"/>
      <c r="R78" s="3290"/>
      <c r="S78" s="1227"/>
      <c r="T78" s="1227"/>
      <c r="U78" s="1227"/>
      <c r="V78" s="4203"/>
      <c r="W78" s="4204"/>
      <c r="X78" s="4205"/>
      <c r="Y78" s="4204"/>
      <c r="Z78" s="2801"/>
      <c r="AA78" s="2802"/>
      <c r="AB78" s="1332"/>
      <c r="AC78" s="4203"/>
      <c r="AD78" s="4204"/>
      <c r="AE78" s="4205"/>
      <c r="AF78" s="4204"/>
      <c r="AG78" s="4205"/>
      <c r="AH78" s="4206"/>
      <c r="AI78" s="2672"/>
      <c r="AJ78" s="4208"/>
      <c r="AK78" s="4191"/>
      <c r="AL78" s="2671"/>
      <c r="AM78" s="2670"/>
      <c r="AN78" s="2672"/>
      <c r="AO78" s="2673"/>
      <c r="AQ78" s="4190">
        <v>1</v>
      </c>
      <c r="AR78" s="4191"/>
      <c r="AS78" s="4192">
        <v>1</v>
      </c>
      <c r="AT78" s="4191"/>
      <c r="AU78" s="4192">
        <v>0</v>
      </c>
      <c r="AV78" s="4193"/>
    </row>
    <row r="79" spans="2:51" ht="15" customHeight="1">
      <c r="B79" s="4198" t="s">
        <v>178</v>
      </c>
      <c r="C79" s="2674" t="s">
        <v>898</v>
      </c>
      <c r="D79" s="1185"/>
      <c r="E79" s="1185"/>
      <c r="F79" s="1185"/>
      <c r="G79" s="1185"/>
      <c r="H79" s="1185"/>
      <c r="I79" s="1186"/>
      <c r="J79" s="1224" t="s">
        <v>24</v>
      </c>
      <c r="K79" s="1224" t="s">
        <v>24</v>
      </c>
      <c r="L79" s="1225" t="s">
        <v>24</v>
      </c>
      <c r="M79" s="1222"/>
      <c r="N79" s="1222"/>
      <c r="O79" s="1222"/>
      <c r="P79" s="1579" t="s">
        <v>24</v>
      </c>
      <c r="Q79" s="1580" t="s">
        <v>24</v>
      </c>
      <c r="R79" s="2866" t="s">
        <v>24</v>
      </c>
      <c r="S79" s="1223"/>
      <c r="T79" s="1223"/>
      <c r="U79" s="1223"/>
      <c r="V79" s="4032" t="s">
        <v>24</v>
      </c>
      <c r="W79" s="4033"/>
      <c r="X79" s="4034" t="s">
        <v>24</v>
      </c>
      <c r="Y79" s="4033"/>
      <c r="Z79" s="4035" t="s">
        <v>24</v>
      </c>
      <c r="AA79" s="4036"/>
      <c r="AB79" s="1332"/>
      <c r="AC79" s="4032">
        <v>0</v>
      </c>
      <c r="AD79" s="4033"/>
      <c r="AE79" s="4034">
        <v>0</v>
      </c>
      <c r="AF79" s="4033"/>
      <c r="AG79" s="4035">
        <v>1</v>
      </c>
      <c r="AH79" s="4035"/>
      <c r="AI79" s="1332"/>
      <c r="AJ79" s="4125">
        <v>0</v>
      </c>
      <c r="AK79" s="4124"/>
      <c r="AL79" s="4123">
        <v>0</v>
      </c>
      <c r="AM79" s="4124"/>
      <c r="AN79" s="4125">
        <v>1</v>
      </c>
      <c r="AO79" s="4126"/>
      <c r="AQ79" s="4160">
        <v>0</v>
      </c>
      <c r="AR79" s="4124"/>
      <c r="AS79" s="4123">
        <v>23</v>
      </c>
      <c r="AT79" s="4124"/>
      <c r="AU79" s="4125">
        <v>2</v>
      </c>
      <c r="AV79" s="4126"/>
    </row>
    <row r="80" spans="2:51" ht="15" customHeight="1" thickBot="1">
      <c r="B80" s="4199"/>
      <c r="C80" s="2832" t="s">
        <v>899</v>
      </c>
      <c r="D80" s="1195"/>
      <c r="E80" s="1195"/>
      <c r="F80" s="1195"/>
      <c r="G80" s="1195"/>
      <c r="H80" s="1195"/>
      <c r="I80" s="1196"/>
      <c r="J80" s="1224" t="s">
        <v>24</v>
      </c>
      <c r="K80" s="1224" t="s">
        <v>24</v>
      </c>
      <c r="L80" s="1225" t="s">
        <v>24</v>
      </c>
      <c r="M80" s="1226"/>
      <c r="N80" s="1226"/>
      <c r="O80" s="1226"/>
      <c r="P80" s="3284" t="s">
        <v>24</v>
      </c>
      <c r="Q80" s="855" t="s">
        <v>24</v>
      </c>
      <c r="R80" s="2865" t="s">
        <v>24</v>
      </c>
      <c r="S80" s="1227"/>
      <c r="T80" s="1227"/>
      <c r="U80" s="1227"/>
      <c r="V80" s="4147" t="s">
        <v>24</v>
      </c>
      <c r="W80" s="4120"/>
      <c r="X80" s="4127" t="s">
        <v>24</v>
      </c>
      <c r="Y80" s="4120"/>
      <c r="Z80" s="4119" t="s">
        <v>24</v>
      </c>
      <c r="AA80" s="4128"/>
      <c r="AB80" s="1332"/>
      <c r="AC80" s="4044">
        <v>0</v>
      </c>
      <c r="AD80" s="4045"/>
      <c r="AE80" s="4046">
        <v>0</v>
      </c>
      <c r="AF80" s="4045"/>
      <c r="AG80" s="4047">
        <v>1</v>
      </c>
      <c r="AH80" s="4047"/>
      <c r="AI80" s="1332"/>
      <c r="AJ80" s="4047">
        <v>0</v>
      </c>
      <c r="AK80" s="4045"/>
      <c r="AL80" s="4046">
        <v>0</v>
      </c>
      <c r="AM80" s="4045"/>
      <c r="AN80" s="4047">
        <v>1</v>
      </c>
      <c r="AO80" s="4048"/>
      <c r="AQ80" s="4044">
        <v>0</v>
      </c>
      <c r="AR80" s="4045"/>
      <c r="AS80" s="4046">
        <v>4</v>
      </c>
      <c r="AT80" s="4045"/>
      <c r="AU80" s="4047">
        <v>1</v>
      </c>
      <c r="AV80" s="4048"/>
    </row>
    <row r="81" spans="2:48" ht="15" customHeight="1">
      <c r="B81" s="4199"/>
      <c r="C81" s="2833" t="s">
        <v>900</v>
      </c>
      <c r="D81" s="1195"/>
      <c r="E81" s="1195"/>
      <c r="F81" s="1195"/>
      <c r="G81" s="1195"/>
      <c r="H81" s="1195"/>
      <c r="I81" s="1196"/>
      <c r="J81" s="1224"/>
      <c r="K81" s="1224"/>
      <c r="L81" s="1225"/>
      <c r="M81" s="1226"/>
      <c r="N81" s="1226"/>
      <c r="O81" s="1226"/>
      <c r="P81" s="3285"/>
      <c r="Q81" s="3291"/>
      <c r="R81" s="3287"/>
      <c r="S81" s="1227"/>
      <c r="T81" s="1227"/>
      <c r="U81" s="1227"/>
      <c r="V81" s="4209"/>
      <c r="W81" s="4210"/>
      <c r="X81" s="4210"/>
      <c r="Y81" s="4210"/>
      <c r="Z81" s="4210"/>
      <c r="AA81" s="4213"/>
      <c r="AB81" s="2673"/>
      <c r="AC81" s="4215"/>
      <c r="AD81" s="4040"/>
      <c r="AE81" s="4039"/>
      <c r="AF81" s="4040"/>
      <c r="AG81" s="4039"/>
      <c r="AH81" s="4143"/>
      <c r="AI81" s="1332"/>
      <c r="AJ81" s="4215"/>
      <c r="AK81" s="4040"/>
      <c r="AL81" s="4039"/>
      <c r="AM81" s="4040"/>
      <c r="AN81" s="4039"/>
      <c r="AO81" s="4143"/>
      <c r="AQ81" s="4215">
        <v>0</v>
      </c>
      <c r="AR81" s="4040"/>
      <c r="AS81" s="4039">
        <v>12</v>
      </c>
      <c r="AT81" s="4040"/>
      <c r="AU81" s="4039">
        <v>0</v>
      </c>
      <c r="AV81" s="4143"/>
    </row>
    <row r="82" spans="2:48" ht="15" customHeight="1" thickBot="1">
      <c r="B82" s="4199"/>
      <c r="C82" s="2830" t="s">
        <v>901</v>
      </c>
      <c r="D82" s="1195"/>
      <c r="E82" s="1195"/>
      <c r="F82" s="1195"/>
      <c r="G82" s="1195"/>
      <c r="H82" s="1195"/>
      <c r="I82" s="1196"/>
      <c r="J82" s="1224"/>
      <c r="K82" s="1224"/>
      <c r="L82" s="1225"/>
      <c r="M82" s="1226"/>
      <c r="N82" s="1226"/>
      <c r="O82" s="1226"/>
      <c r="P82" s="3288"/>
      <c r="Q82" s="3289"/>
      <c r="R82" s="3290"/>
      <c r="S82" s="1227"/>
      <c r="T82" s="1227"/>
      <c r="U82" s="1227"/>
      <c r="V82" s="4211"/>
      <c r="W82" s="4212"/>
      <c r="X82" s="4212"/>
      <c r="Y82" s="4212"/>
      <c r="Z82" s="4212"/>
      <c r="AA82" s="4214"/>
      <c r="AB82" s="2673"/>
      <c r="AC82" s="4041"/>
      <c r="AD82" s="4042"/>
      <c r="AE82" s="4043"/>
      <c r="AF82" s="4042"/>
      <c r="AG82" s="4043"/>
      <c r="AH82" s="4189"/>
      <c r="AI82" s="1332"/>
      <c r="AJ82" s="4041"/>
      <c r="AK82" s="4042"/>
      <c r="AL82" s="4043"/>
      <c r="AM82" s="4042"/>
      <c r="AN82" s="4043"/>
      <c r="AO82" s="4189"/>
      <c r="AQ82" s="4041">
        <v>0</v>
      </c>
      <c r="AR82" s="4042"/>
      <c r="AS82" s="4043">
        <v>11</v>
      </c>
      <c r="AT82" s="4042"/>
      <c r="AU82" s="4043">
        <v>2</v>
      </c>
      <c r="AV82" s="4189"/>
    </row>
    <row r="83" spans="2:48" ht="15" customHeight="1">
      <c r="B83" s="4216" t="s">
        <v>608</v>
      </c>
      <c r="C83" s="2838" t="s">
        <v>898</v>
      </c>
      <c r="D83" s="1231"/>
      <c r="E83" s="1231"/>
      <c r="F83" s="1231"/>
      <c r="G83" s="1231"/>
      <c r="H83" s="1231"/>
      <c r="I83" s="1232"/>
      <c r="J83" s="1233" t="s">
        <v>24</v>
      </c>
      <c r="K83" s="1233" t="s">
        <v>24</v>
      </c>
      <c r="L83" s="1234" t="s">
        <v>24</v>
      </c>
      <c r="M83" s="1235"/>
      <c r="N83" s="1235"/>
      <c r="O83" s="1235"/>
      <c r="P83" s="3292" t="s">
        <v>24</v>
      </c>
      <c r="Q83" s="3293" t="s">
        <v>24</v>
      </c>
      <c r="R83" s="3294" t="s">
        <v>24</v>
      </c>
      <c r="S83" s="1223"/>
      <c r="T83" s="1223"/>
      <c r="U83" s="1223"/>
      <c r="V83" s="4164" t="s">
        <v>24</v>
      </c>
      <c r="W83" s="4124"/>
      <c r="X83" s="4123" t="s">
        <v>24</v>
      </c>
      <c r="Y83" s="4124"/>
      <c r="Z83" s="4125" t="s">
        <v>24</v>
      </c>
      <c r="AA83" s="4126"/>
      <c r="AB83" s="1332"/>
      <c r="AC83" s="4160">
        <v>6</v>
      </c>
      <c r="AD83" s="4124"/>
      <c r="AE83" s="4123">
        <v>2</v>
      </c>
      <c r="AF83" s="4124"/>
      <c r="AG83" s="4125">
        <v>0</v>
      </c>
      <c r="AH83" s="4125"/>
      <c r="AI83" s="1332"/>
      <c r="AJ83" s="4125">
        <v>32</v>
      </c>
      <c r="AK83" s="4124"/>
      <c r="AL83" s="4123">
        <v>15</v>
      </c>
      <c r="AM83" s="4124"/>
      <c r="AN83" s="4125">
        <v>1</v>
      </c>
      <c r="AO83" s="4126"/>
      <c r="AQ83" s="4160">
        <v>44</v>
      </c>
      <c r="AR83" s="4124"/>
      <c r="AS83" s="4123">
        <v>30</v>
      </c>
      <c r="AT83" s="4124"/>
      <c r="AU83" s="4125">
        <v>10</v>
      </c>
      <c r="AV83" s="4126"/>
    </row>
    <row r="84" spans="2:48" ht="15" customHeight="1" thickBot="1">
      <c r="B84" s="4217"/>
      <c r="C84" s="2839" t="s">
        <v>899</v>
      </c>
      <c r="D84" s="1236"/>
      <c r="E84" s="1236"/>
      <c r="F84" s="1236"/>
      <c r="G84" s="1236"/>
      <c r="H84" s="1236"/>
      <c r="I84" s="1237"/>
      <c r="J84" s="1238" t="s">
        <v>24</v>
      </c>
      <c r="K84" s="1238" t="s">
        <v>24</v>
      </c>
      <c r="L84" s="1238" t="s">
        <v>24</v>
      </c>
      <c r="M84" s="1239"/>
      <c r="N84" s="1239"/>
      <c r="O84" s="1239"/>
      <c r="P84" s="3285" t="s">
        <v>24</v>
      </c>
      <c r="Q84" s="3291" t="s">
        <v>24</v>
      </c>
      <c r="R84" s="3295" t="s">
        <v>24</v>
      </c>
      <c r="S84" s="1227"/>
      <c r="T84" s="1227"/>
      <c r="U84" s="1227"/>
      <c r="V84" s="4223" t="s">
        <v>24</v>
      </c>
      <c r="W84" s="4120"/>
      <c r="X84" s="4127" t="s">
        <v>24</v>
      </c>
      <c r="Y84" s="4120"/>
      <c r="Z84" s="4119" t="s">
        <v>24</v>
      </c>
      <c r="AA84" s="4128"/>
      <c r="AB84" s="1332"/>
      <c r="AC84" s="4147">
        <v>0</v>
      </c>
      <c r="AD84" s="4120"/>
      <c r="AE84" s="4127">
        <v>0</v>
      </c>
      <c r="AF84" s="4120"/>
      <c r="AG84" s="4119">
        <v>0</v>
      </c>
      <c r="AH84" s="4119"/>
      <c r="AI84" s="1332"/>
      <c r="AJ84" s="4119">
        <v>0</v>
      </c>
      <c r="AK84" s="4120"/>
      <c r="AL84" s="4127">
        <v>0</v>
      </c>
      <c r="AM84" s="4120"/>
      <c r="AN84" s="4119">
        <v>0</v>
      </c>
      <c r="AO84" s="4128"/>
      <c r="AQ84" s="4147">
        <v>4</v>
      </c>
      <c r="AR84" s="4120"/>
      <c r="AS84" s="4127">
        <v>3</v>
      </c>
      <c r="AT84" s="4120"/>
      <c r="AU84" s="4119">
        <v>0</v>
      </c>
      <c r="AV84" s="4128"/>
    </row>
    <row r="85" spans="2:48" ht="15" customHeight="1">
      <c r="B85" s="4217"/>
      <c r="C85" s="2833" t="s">
        <v>900</v>
      </c>
      <c r="D85" s="2834"/>
      <c r="E85" s="2834"/>
      <c r="F85" s="2834"/>
      <c r="G85" s="2834"/>
      <c r="H85" s="2834"/>
      <c r="I85" s="2835"/>
      <c r="J85" s="2836"/>
      <c r="K85" s="2836"/>
      <c r="L85" s="2837"/>
      <c r="M85" s="1226"/>
      <c r="N85" s="1226"/>
      <c r="O85" s="1226"/>
      <c r="P85" s="3296"/>
      <c r="Q85" s="3297"/>
      <c r="R85" s="3298"/>
      <c r="S85" s="1227"/>
      <c r="T85" s="1227"/>
      <c r="U85" s="1227"/>
      <c r="V85" s="2803"/>
      <c r="W85" s="2790"/>
      <c r="X85" s="2791"/>
      <c r="Y85" s="2790"/>
      <c r="Z85" s="2792"/>
      <c r="AA85" s="2793"/>
      <c r="AB85" s="1332"/>
      <c r="AC85" s="2789"/>
      <c r="AD85" s="2790"/>
      <c r="AE85" s="2791"/>
      <c r="AF85" s="2790"/>
      <c r="AG85" s="2792"/>
      <c r="AH85" s="2792"/>
      <c r="AI85" s="1332"/>
      <c r="AJ85" s="2792"/>
      <c r="AK85" s="2790"/>
      <c r="AL85" s="2791"/>
      <c r="AM85" s="2790"/>
      <c r="AN85" s="2792"/>
      <c r="AO85" s="2793"/>
      <c r="AQ85" s="4148">
        <v>25</v>
      </c>
      <c r="AR85" s="4149"/>
      <c r="AS85" s="4150">
        <v>13</v>
      </c>
      <c r="AT85" s="4149"/>
      <c r="AU85" s="4150">
        <v>6</v>
      </c>
      <c r="AV85" s="4152"/>
    </row>
    <row r="86" spans="2:48" ht="15" customHeight="1" thickBot="1">
      <c r="B86" s="4217"/>
      <c r="C86" s="2829" t="s">
        <v>901</v>
      </c>
      <c r="D86" s="2834"/>
      <c r="E86" s="2834"/>
      <c r="F86" s="2834"/>
      <c r="G86" s="2834"/>
      <c r="H86" s="2834"/>
      <c r="I86" s="2835"/>
      <c r="J86" s="2836"/>
      <c r="K86" s="2836"/>
      <c r="L86" s="2837"/>
      <c r="M86" s="1226"/>
      <c r="N86" s="1226"/>
      <c r="O86" s="1226"/>
      <c r="P86" s="3288"/>
      <c r="Q86" s="3289"/>
      <c r="R86" s="3299"/>
      <c r="S86" s="1227"/>
      <c r="T86" s="1227"/>
      <c r="U86" s="1227"/>
      <c r="V86" s="2804"/>
      <c r="W86" s="2800"/>
      <c r="X86" s="2799"/>
      <c r="Y86" s="2800"/>
      <c r="Z86" s="2801"/>
      <c r="AA86" s="2802"/>
      <c r="AB86" s="1332"/>
      <c r="AC86" s="2831"/>
      <c r="AD86" s="2800"/>
      <c r="AE86" s="2799"/>
      <c r="AF86" s="2800"/>
      <c r="AG86" s="2801"/>
      <c r="AH86" s="2801"/>
      <c r="AI86" s="1332"/>
      <c r="AJ86" s="2801"/>
      <c r="AK86" s="2800"/>
      <c r="AL86" s="2799"/>
      <c r="AM86" s="2800"/>
      <c r="AN86" s="2801"/>
      <c r="AO86" s="2802"/>
      <c r="AQ86" s="4041">
        <v>19</v>
      </c>
      <c r="AR86" s="4042"/>
      <c r="AS86" s="4043">
        <v>17</v>
      </c>
      <c r="AT86" s="4042"/>
      <c r="AU86" s="4043">
        <v>4</v>
      </c>
      <c r="AV86" s="4189"/>
    </row>
    <row r="87" spans="2:48" ht="15" customHeight="1">
      <c r="B87" s="4218" t="s">
        <v>182</v>
      </c>
      <c r="C87" s="2692" t="s">
        <v>898</v>
      </c>
      <c r="D87" s="1172"/>
      <c r="E87" s="1173"/>
      <c r="F87" s="1173"/>
      <c r="G87" s="1173"/>
      <c r="H87" s="1173"/>
      <c r="I87" s="1174"/>
      <c r="J87" s="1229" t="s">
        <v>24</v>
      </c>
      <c r="K87" s="1229" t="s">
        <v>24</v>
      </c>
      <c r="L87" s="1230" t="s">
        <v>24</v>
      </c>
      <c r="M87" s="1222"/>
      <c r="N87" s="1222"/>
      <c r="O87" s="1222"/>
      <c r="P87" s="1579" t="s">
        <v>24</v>
      </c>
      <c r="Q87" s="1580" t="s">
        <v>24</v>
      </c>
      <c r="R87" s="2866" t="s">
        <v>24</v>
      </c>
      <c r="S87" s="1223"/>
      <c r="T87" s="1223"/>
      <c r="U87" s="1223"/>
      <c r="V87" s="4032" t="s">
        <v>24</v>
      </c>
      <c r="W87" s="4033"/>
      <c r="X87" s="4034" t="s">
        <v>24</v>
      </c>
      <c r="Y87" s="4033"/>
      <c r="Z87" s="4035" t="s">
        <v>24</v>
      </c>
      <c r="AA87" s="4036"/>
      <c r="AB87" s="1332"/>
      <c r="AC87" s="4032">
        <v>6</v>
      </c>
      <c r="AD87" s="4033"/>
      <c r="AE87" s="4034">
        <v>2</v>
      </c>
      <c r="AF87" s="4033"/>
      <c r="AG87" s="4035">
        <v>0</v>
      </c>
      <c r="AH87" s="4035"/>
      <c r="AI87" s="1332"/>
      <c r="AJ87" s="4035">
        <v>0</v>
      </c>
      <c r="AK87" s="4033"/>
      <c r="AL87" s="4034">
        <v>2</v>
      </c>
      <c r="AM87" s="4033"/>
      <c r="AN87" s="4035">
        <v>0</v>
      </c>
      <c r="AO87" s="4036"/>
      <c r="AQ87" s="4032">
        <v>4</v>
      </c>
      <c r="AR87" s="4033"/>
      <c r="AS87" s="4034">
        <v>545</v>
      </c>
      <c r="AT87" s="4033"/>
      <c r="AU87" s="4035">
        <v>53</v>
      </c>
      <c r="AV87" s="4036"/>
    </row>
    <row r="88" spans="2:48" ht="15" customHeight="1" thickBot="1">
      <c r="B88" s="4219"/>
      <c r="C88" s="2692" t="s">
        <v>899</v>
      </c>
      <c r="D88" s="1194"/>
      <c r="E88" s="1195"/>
      <c r="F88" s="1195"/>
      <c r="G88" s="1195"/>
      <c r="H88" s="1195"/>
      <c r="I88" s="1196"/>
      <c r="J88" s="1228" t="s">
        <v>24</v>
      </c>
      <c r="K88" s="1228" t="s">
        <v>24</v>
      </c>
      <c r="L88" s="1228" t="s">
        <v>24</v>
      </c>
      <c r="M88" s="1226"/>
      <c r="N88" s="1226"/>
      <c r="O88" s="1226"/>
      <c r="P88" s="3285" t="s">
        <v>24</v>
      </c>
      <c r="Q88" s="3291" t="s">
        <v>24</v>
      </c>
      <c r="R88" s="3287" t="s">
        <v>24</v>
      </c>
      <c r="S88" s="1227"/>
      <c r="T88" s="1227"/>
      <c r="U88" s="1227"/>
      <c r="V88" s="4147" t="s">
        <v>24</v>
      </c>
      <c r="W88" s="4120"/>
      <c r="X88" s="4127" t="s">
        <v>24</v>
      </c>
      <c r="Y88" s="4120"/>
      <c r="Z88" s="4119" t="s">
        <v>24</v>
      </c>
      <c r="AA88" s="4128"/>
      <c r="AB88" s="1332"/>
      <c r="AC88" s="4147">
        <v>0</v>
      </c>
      <c r="AD88" s="4120"/>
      <c r="AE88" s="4127">
        <v>0</v>
      </c>
      <c r="AF88" s="4120"/>
      <c r="AG88" s="4119">
        <v>0</v>
      </c>
      <c r="AH88" s="4119"/>
      <c r="AI88" s="1332"/>
      <c r="AJ88" s="4119">
        <v>0</v>
      </c>
      <c r="AK88" s="4120"/>
      <c r="AL88" s="4127">
        <v>0</v>
      </c>
      <c r="AM88" s="4120"/>
      <c r="AN88" s="4119">
        <v>0</v>
      </c>
      <c r="AO88" s="4128"/>
      <c r="AQ88" s="4147">
        <v>2</v>
      </c>
      <c r="AR88" s="4120"/>
      <c r="AS88" s="4127">
        <v>22</v>
      </c>
      <c r="AT88" s="4120"/>
      <c r="AU88" s="4119">
        <v>4</v>
      </c>
      <c r="AV88" s="4128"/>
    </row>
    <row r="89" spans="2:48" ht="15" customHeight="1">
      <c r="B89" s="4219"/>
      <c r="C89" s="2680" t="s">
        <v>900</v>
      </c>
      <c r="D89" s="2842"/>
      <c r="E89" s="2840"/>
      <c r="F89" s="2840"/>
      <c r="G89" s="2840"/>
      <c r="H89" s="2840"/>
      <c r="I89" s="2841"/>
      <c r="J89" s="2836"/>
      <c r="K89" s="2836"/>
      <c r="L89" s="2837"/>
      <c r="M89" s="1226"/>
      <c r="N89" s="1226"/>
      <c r="O89" s="1226"/>
      <c r="P89" s="3300"/>
      <c r="Q89" s="3301"/>
      <c r="R89" s="3302"/>
      <c r="S89" s="1227"/>
      <c r="T89" s="1227"/>
      <c r="U89" s="1227"/>
      <c r="V89" s="4221"/>
      <c r="W89" s="4222"/>
      <c r="X89" s="4221"/>
      <c r="Y89" s="4222"/>
      <c r="Z89" s="4221"/>
      <c r="AA89" s="4222"/>
      <c r="AB89" s="2673"/>
      <c r="AC89" s="4146"/>
      <c r="AD89" s="4116"/>
      <c r="AE89" s="4115"/>
      <c r="AF89" s="4116"/>
      <c r="AG89" s="4115"/>
      <c r="AH89" s="4118"/>
      <c r="AI89" s="1332"/>
      <c r="AJ89" s="2797"/>
      <c r="AK89" s="2795"/>
      <c r="AL89" s="2796"/>
      <c r="AM89" s="2795"/>
      <c r="AN89" s="2797"/>
      <c r="AO89" s="2798"/>
      <c r="AQ89" s="4148">
        <v>3</v>
      </c>
      <c r="AR89" s="4149"/>
      <c r="AS89" s="4150">
        <v>243</v>
      </c>
      <c r="AT89" s="4149"/>
      <c r="AU89" s="4150">
        <v>28</v>
      </c>
      <c r="AV89" s="4152"/>
    </row>
    <row r="90" spans="2:48" ht="15" customHeight="1" thickBot="1">
      <c r="B90" s="4220"/>
      <c r="C90" s="2691" t="s">
        <v>901</v>
      </c>
      <c r="D90" s="2840"/>
      <c r="E90" s="2840"/>
      <c r="F90" s="2840"/>
      <c r="G90" s="2840"/>
      <c r="H90" s="2840"/>
      <c r="I90" s="2841"/>
      <c r="J90" s="2836"/>
      <c r="K90" s="2836"/>
      <c r="L90" s="2837"/>
      <c r="M90" s="1226"/>
      <c r="N90" s="1226"/>
      <c r="O90" s="1226"/>
      <c r="P90" s="3209"/>
      <c r="Q90" s="3210"/>
      <c r="R90" s="3198"/>
      <c r="S90" s="1227"/>
      <c r="T90" s="1227"/>
      <c r="U90" s="1227"/>
      <c r="V90" s="4041"/>
      <c r="W90" s="4042"/>
      <c r="X90" s="4043"/>
      <c r="Y90" s="4042"/>
      <c r="Z90" s="4043"/>
      <c r="AA90" s="4189"/>
      <c r="AB90" s="1332"/>
      <c r="AC90" s="4041"/>
      <c r="AD90" s="4042"/>
      <c r="AE90" s="4043"/>
      <c r="AF90" s="4042"/>
      <c r="AG90" s="4043"/>
      <c r="AH90" s="4189"/>
      <c r="AI90" s="1332"/>
      <c r="AJ90" s="2787"/>
      <c r="AK90" s="2785"/>
      <c r="AL90" s="2786"/>
      <c r="AM90" s="2785"/>
      <c r="AN90" s="2787"/>
      <c r="AO90" s="2788"/>
      <c r="AQ90" s="4041">
        <v>1</v>
      </c>
      <c r="AR90" s="4042"/>
      <c r="AS90" s="4043">
        <v>302</v>
      </c>
      <c r="AT90" s="4042"/>
      <c r="AU90" s="4043">
        <v>25</v>
      </c>
      <c r="AV90" s="4189"/>
    </row>
    <row r="91" spans="2:48" ht="15" customHeight="1" thickBot="1">
      <c r="B91" s="4049" t="s">
        <v>183</v>
      </c>
      <c r="C91" s="1240" t="s">
        <v>915</v>
      </c>
      <c r="D91" s="1209"/>
      <c r="E91" s="1209"/>
      <c r="F91" s="1209"/>
      <c r="G91" s="1209"/>
      <c r="H91" s="1209"/>
      <c r="I91" s="1210"/>
      <c r="J91" s="1175" t="s">
        <v>24</v>
      </c>
      <c r="K91" s="1175" t="s">
        <v>24</v>
      </c>
      <c r="L91" s="1241" t="s">
        <v>24</v>
      </c>
      <c r="M91" s="1226"/>
      <c r="N91" s="1226"/>
      <c r="O91" s="1226"/>
      <c r="P91" s="3303" t="s">
        <v>24</v>
      </c>
      <c r="Q91" s="3304" t="s">
        <v>24</v>
      </c>
      <c r="R91" s="3305" t="s">
        <v>24</v>
      </c>
      <c r="S91" s="1227"/>
      <c r="T91" s="1227"/>
      <c r="U91" s="1227"/>
      <c r="V91" s="4159" t="s">
        <v>24</v>
      </c>
      <c r="W91" s="4122"/>
      <c r="X91" s="4133" t="s">
        <v>24</v>
      </c>
      <c r="Y91" s="4122"/>
      <c r="Z91" s="4121" t="s">
        <v>24</v>
      </c>
      <c r="AA91" s="4134"/>
      <c r="AB91" s="1333"/>
      <c r="AC91" s="4159">
        <v>4973</v>
      </c>
      <c r="AD91" s="4122"/>
      <c r="AE91" s="4133">
        <v>1095</v>
      </c>
      <c r="AF91" s="4122"/>
      <c r="AG91" s="4121">
        <v>352</v>
      </c>
      <c r="AH91" s="4121"/>
      <c r="AI91" s="1333"/>
      <c r="AJ91" s="4121">
        <v>5535</v>
      </c>
      <c r="AK91" s="4122"/>
      <c r="AL91" s="4133">
        <v>1484</v>
      </c>
      <c r="AM91" s="4122"/>
      <c r="AN91" s="4121">
        <v>339</v>
      </c>
      <c r="AO91" s="4134"/>
      <c r="AQ91" s="4159">
        <v>6029</v>
      </c>
      <c r="AR91" s="4122"/>
      <c r="AS91" s="4133">
        <v>3662</v>
      </c>
      <c r="AT91" s="4122"/>
      <c r="AU91" s="4121">
        <v>621</v>
      </c>
      <c r="AV91" s="4134"/>
    </row>
    <row r="92" spans="2:48" ht="15" customHeight="1">
      <c r="B92" s="4050"/>
      <c r="C92" s="1242" t="s">
        <v>916</v>
      </c>
      <c r="D92" s="1173"/>
      <c r="E92" s="1173"/>
      <c r="F92" s="1173"/>
      <c r="G92" s="1173"/>
      <c r="H92" s="1173"/>
      <c r="I92" s="1174"/>
      <c r="J92" s="1187" t="s">
        <v>24</v>
      </c>
      <c r="K92" s="1187" t="s">
        <v>24</v>
      </c>
      <c r="L92" s="1243" t="s">
        <v>24</v>
      </c>
      <c r="M92" s="1222"/>
      <c r="N92" s="1222"/>
      <c r="O92" s="1222"/>
      <c r="P92" s="3306" t="s">
        <v>24</v>
      </c>
      <c r="Q92" s="3307" t="s">
        <v>24</v>
      </c>
      <c r="R92" s="3308" t="s">
        <v>24</v>
      </c>
      <c r="S92" s="1223"/>
      <c r="T92" s="1223"/>
      <c r="U92" s="1223"/>
      <c r="V92" s="4156" t="s">
        <v>24</v>
      </c>
      <c r="W92" s="4136"/>
      <c r="X92" s="4135" t="s">
        <v>24</v>
      </c>
      <c r="Y92" s="4136"/>
      <c r="Z92" s="4137" t="s">
        <v>24</v>
      </c>
      <c r="AA92" s="4138"/>
      <c r="AB92" s="1333"/>
      <c r="AC92" s="4156">
        <v>79</v>
      </c>
      <c r="AD92" s="4136"/>
      <c r="AE92" s="4135">
        <v>0</v>
      </c>
      <c r="AF92" s="4136"/>
      <c r="AG92" s="4137">
        <v>6</v>
      </c>
      <c r="AH92" s="4137"/>
      <c r="AI92" s="1333"/>
      <c r="AJ92" s="4137">
        <v>65</v>
      </c>
      <c r="AK92" s="4136"/>
      <c r="AL92" s="4135">
        <v>4</v>
      </c>
      <c r="AM92" s="4136"/>
      <c r="AN92" s="4137">
        <v>7</v>
      </c>
      <c r="AO92" s="4138"/>
      <c r="AQ92" s="4156">
        <v>851</v>
      </c>
      <c r="AR92" s="4136"/>
      <c r="AS92" s="4135">
        <v>181</v>
      </c>
      <c r="AT92" s="4136"/>
      <c r="AU92" s="4137">
        <v>72</v>
      </c>
      <c r="AV92" s="4138"/>
    </row>
    <row r="93" spans="2:48" ht="15" customHeight="1">
      <c r="B93" s="4050"/>
      <c r="C93" s="1244" t="s">
        <v>917</v>
      </c>
      <c r="D93" s="1185"/>
      <c r="E93" s="1185"/>
      <c r="F93" s="1185"/>
      <c r="G93" s="1185"/>
      <c r="H93" s="1185"/>
      <c r="I93" s="1186"/>
      <c r="J93" s="1187" t="s">
        <v>24</v>
      </c>
      <c r="K93" s="1187" t="s">
        <v>24</v>
      </c>
      <c r="L93" s="1243" t="s">
        <v>24</v>
      </c>
      <c r="M93" s="1222"/>
      <c r="N93" s="1222"/>
      <c r="O93" s="1222"/>
      <c r="P93" s="3306" t="s">
        <v>24</v>
      </c>
      <c r="Q93" s="3309" t="s">
        <v>24</v>
      </c>
      <c r="R93" s="3308" t="s">
        <v>24</v>
      </c>
      <c r="S93" s="1223"/>
      <c r="T93" s="1223"/>
      <c r="U93" s="1223"/>
      <c r="V93" s="4157" t="s">
        <v>24</v>
      </c>
      <c r="W93" s="4158"/>
      <c r="X93" s="4139" t="s">
        <v>24</v>
      </c>
      <c r="Y93" s="4158"/>
      <c r="Z93" s="4141" t="s">
        <v>24</v>
      </c>
      <c r="AA93" s="4140"/>
      <c r="AB93" s="1334"/>
      <c r="AC93" s="4157">
        <f>AC91/6420</f>
        <v>0.77461059190031156</v>
      </c>
      <c r="AD93" s="4158"/>
      <c r="AE93" s="4139">
        <f>AE91/6420</f>
        <v>0.17056074766355139</v>
      </c>
      <c r="AF93" s="4158"/>
      <c r="AG93" s="4141">
        <v>5.4828660436137072E-2</v>
      </c>
      <c r="AH93" s="4141"/>
      <c r="AI93" s="1334"/>
      <c r="AJ93" s="4141">
        <f>AJ91/7358</f>
        <v>0.75224245718945371</v>
      </c>
      <c r="AK93" s="4141"/>
      <c r="AL93" s="4139">
        <f>AL91/7358</f>
        <v>0.20168524055449852</v>
      </c>
      <c r="AM93" s="4141"/>
      <c r="AN93" s="4139">
        <f>AN91/7358</f>
        <v>4.6072302256047838E-2</v>
      </c>
      <c r="AO93" s="4140"/>
      <c r="AQ93" s="4157">
        <v>0.58499999999999996</v>
      </c>
      <c r="AR93" s="4158"/>
      <c r="AS93" s="4139">
        <v>0.35499999999999998</v>
      </c>
      <c r="AT93" s="4158"/>
      <c r="AU93" s="4139">
        <v>0.06</v>
      </c>
      <c r="AV93" s="4140"/>
    </row>
    <row r="94" spans="2:48" ht="15" customHeight="1" thickBot="1">
      <c r="B94" s="4051"/>
      <c r="C94" s="1244" t="s">
        <v>903</v>
      </c>
      <c r="D94" s="1195"/>
      <c r="E94" s="1195"/>
      <c r="F94" s="1195"/>
      <c r="G94" s="1195"/>
      <c r="H94" s="1195"/>
      <c r="I94" s="1196"/>
      <c r="J94" s="1245" t="s">
        <v>24</v>
      </c>
      <c r="K94" s="1245" t="s">
        <v>24</v>
      </c>
      <c r="L94" s="1246" t="s">
        <v>24</v>
      </c>
      <c r="M94" s="1226"/>
      <c r="N94" s="1226"/>
      <c r="O94" s="1226"/>
      <c r="P94" s="3310" t="s">
        <v>24</v>
      </c>
      <c r="Q94" s="3311" t="s">
        <v>24</v>
      </c>
      <c r="R94" s="3312" t="s">
        <v>24</v>
      </c>
      <c r="S94" s="1227"/>
      <c r="T94" s="1227"/>
      <c r="U94" s="1227"/>
      <c r="V94" s="4153" t="s">
        <v>24</v>
      </c>
      <c r="W94" s="4154"/>
      <c r="X94" s="4155" t="s">
        <v>24</v>
      </c>
      <c r="Y94" s="4154"/>
      <c r="Z94" s="4144" t="s">
        <v>24</v>
      </c>
      <c r="AA94" s="4163"/>
      <c r="AB94" s="1334"/>
      <c r="AC94" s="4153">
        <f>AC92/(SUM(AC92,AG92))</f>
        <v>0.92941176470588238</v>
      </c>
      <c r="AD94" s="4154"/>
      <c r="AE94" s="4155">
        <v>0</v>
      </c>
      <c r="AF94" s="4154"/>
      <c r="AG94" s="4144">
        <v>7.0588235294117646E-2</v>
      </c>
      <c r="AH94" s="4144"/>
      <c r="AI94" s="1334"/>
      <c r="AJ94" s="4144">
        <f>AJ92/76</f>
        <v>0.85526315789473684</v>
      </c>
      <c r="AK94" s="4144"/>
      <c r="AL94" s="4131">
        <f>AL92/76</f>
        <v>5.2631578947368418E-2</v>
      </c>
      <c r="AM94" s="4142"/>
      <c r="AN94" s="4131">
        <f>AN92/76</f>
        <v>9.2105263157894732E-2</v>
      </c>
      <c r="AO94" s="4132"/>
      <c r="AQ94" s="4194">
        <v>0.77100000000000002</v>
      </c>
      <c r="AR94" s="4195"/>
      <c r="AS94" s="4131">
        <v>0.16400000000000001</v>
      </c>
      <c r="AT94" s="4195"/>
      <c r="AU94" s="4131">
        <v>6.5000000000000002E-2</v>
      </c>
      <c r="AV94" s="4132"/>
    </row>
  </sheetData>
  <mergeCells count="447">
    <mergeCell ref="AS79:AT79"/>
    <mergeCell ref="AQ52:AR52"/>
    <mergeCell ref="AQ53:AR53"/>
    <mergeCell ref="AS52:AT52"/>
    <mergeCell ref="AS53:AT53"/>
    <mergeCell ref="AU52:AV52"/>
    <mergeCell ref="AU53:AV53"/>
    <mergeCell ref="AQ61:AR61"/>
    <mergeCell ref="AQ62:AR62"/>
    <mergeCell ref="AS61:AT61"/>
    <mergeCell ref="AS62:AT62"/>
    <mergeCell ref="AU62:AV62"/>
    <mergeCell ref="AU61:AV61"/>
    <mergeCell ref="AQ57:AV57"/>
    <mergeCell ref="AQ58:AR58"/>
    <mergeCell ref="AS58:AT58"/>
    <mergeCell ref="AU58:AV58"/>
    <mergeCell ref="AQ59:AR59"/>
    <mergeCell ref="AS59:AT59"/>
    <mergeCell ref="AU59:AV59"/>
    <mergeCell ref="AQ60:AR60"/>
    <mergeCell ref="AS60:AT60"/>
    <mergeCell ref="AU60:AV60"/>
    <mergeCell ref="AS75:AT75"/>
    <mergeCell ref="AE90:AF90"/>
    <mergeCell ref="AG89:AH89"/>
    <mergeCell ref="AG90:AH90"/>
    <mergeCell ref="AE84:AF84"/>
    <mergeCell ref="AG84:AH84"/>
    <mergeCell ref="AE87:AF87"/>
    <mergeCell ref="AG87:AH87"/>
    <mergeCell ref="AE89:AF89"/>
    <mergeCell ref="AQ87:AR87"/>
    <mergeCell ref="AU87:AV87"/>
    <mergeCell ref="AQ88:AR88"/>
    <mergeCell ref="AS88:AT88"/>
    <mergeCell ref="AU88:AV88"/>
    <mergeCell ref="AS84:AT84"/>
    <mergeCell ref="AU84:AV84"/>
    <mergeCell ref="AQ85:AR85"/>
    <mergeCell ref="AQ86:AR86"/>
    <mergeCell ref="AS85:AT85"/>
    <mergeCell ref="AS86:AT86"/>
    <mergeCell ref="AN82:AO82"/>
    <mergeCell ref="AQ82:AR82"/>
    <mergeCell ref="AS82:AT82"/>
    <mergeCell ref="AU82:AV82"/>
    <mergeCell ref="AQ81:AR81"/>
    <mergeCell ref="AS81:AT81"/>
    <mergeCell ref="AU81:AV81"/>
    <mergeCell ref="B83:B86"/>
    <mergeCell ref="B87:B90"/>
    <mergeCell ref="V89:W89"/>
    <mergeCell ref="X89:Y89"/>
    <mergeCell ref="Z89:AA89"/>
    <mergeCell ref="V90:W90"/>
    <mergeCell ref="X90:Y90"/>
    <mergeCell ref="Z90:AA90"/>
    <mergeCell ref="AC89:AD89"/>
    <mergeCell ref="AC90:AD90"/>
    <mergeCell ref="AC87:AD87"/>
    <mergeCell ref="V84:W84"/>
    <mergeCell ref="X84:Y84"/>
    <mergeCell ref="Z84:AA84"/>
    <mergeCell ref="AQ83:AR83"/>
    <mergeCell ref="AS83:AT83"/>
    <mergeCell ref="AU83:AV83"/>
    <mergeCell ref="AC79:AD79"/>
    <mergeCell ref="AE79:AF79"/>
    <mergeCell ref="AG79:AH79"/>
    <mergeCell ref="AJ78:AK78"/>
    <mergeCell ref="B79:B82"/>
    <mergeCell ref="V81:W81"/>
    <mergeCell ref="V82:W82"/>
    <mergeCell ref="X81:Y81"/>
    <mergeCell ref="X82:Y82"/>
    <mergeCell ref="Z81:AA81"/>
    <mergeCell ref="Z82:AA82"/>
    <mergeCell ref="AC81:AD81"/>
    <mergeCell ref="AC82:AD82"/>
    <mergeCell ref="AE81:AF81"/>
    <mergeCell ref="AE82:AF82"/>
    <mergeCell ref="AG81:AH81"/>
    <mergeCell ref="AG82:AH82"/>
    <mergeCell ref="AJ81:AK81"/>
    <mergeCell ref="AJ82:AK82"/>
    <mergeCell ref="B75:B78"/>
    <mergeCell ref="V78:W78"/>
    <mergeCell ref="V77:W77"/>
    <mergeCell ref="X77:Y77"/>
    <mergeCell ref="X78:Y78"/>
    <mergeCell ref="AC78:AD78"/>
    <mergeCell ref="AC77:AD77"/>
    <mergeCell ref="AE77:AF77"/>
    <mergeCell ref="AE78:AF78"/>
    <mergeCell ref="AC76:AD76"/>
    <mergeCell ref="AE76:AF76"/>
    <mergeCell ref="AN65:AO65"/>
    <mergeCell ref="AN66:AO66"/>
    <mergeCell ref="AQ65:AR65"/>
    <mergeCell ref="AQ66:AR66"/>
    <mergeCell ref="AQ75:AR75"/>
    <mergeCell ref="AG68:AH68"/>
    <mergeCell ref="AC75:AD75"/>
    <mergeCell ref="AE75:AF75"/>
    <mergeCell ref="AG75:AH75"/>
    <mergeCell ref="AG77:AH77"/>
    <mergeCell ref="AG78:AH78"/>
    <mergeCell ref="AG76:AH76"/>
    <mergeCell ref="AN72:AO72"/>
    <mergeCell ref="AQ72:AR72"/>
    <mergeCell ref="AQ74:AR74"/>
    <mergeCell ref="AJ65:AK65"/>
    <mergeCell ref="AJ66:AK66"/>
    <mergeCell ref="AL65:AM65"/>
    <mergeCell ref="AC68:AD68"/>
    <mergeCell ref="AE68:AF68"/>
    <mergeCell ref="B67:B70"/>
    <mergeCell ref="V70:W70"/>
    <mergeCell ref="X70:Y70"/>
    <mergeCell ref="X69:Y69"/>
    <mergeCell ref="V69:W69"/>
    <mergeCell ref="AS69:AT69"/>
    <mergeCell ref="AS70:AT70"/>
    <mergeCell ref="AQ70:AR70"/>
    <mergeCell ref="AQ69:AR69"/>
    <mergeCell ref="AS67:AT67"/>
    <mergeCell ref="AC65:AD65"/>
    <mergeCell ref="AC66:AD66"/>
    <mergeCell ref="AE65:AF65"/>
    <mergeCell ref="AE66:AF66"/>
    <mergeCell ref="B50:B53"/>
    <mergeCell ref="B59:B62"/>
    <mergeCell ref="V61:W61"/>
    <mergeCell ref="V62:W62"/>
    <mergeCell ref="B63:B66"/>
    <mergeCell ref="V66:W66"/>
    <mergeCell ref="V65:W65"/>
    <mergeCell ref="X65:Y65"/>
    <mergeCell ref="X66:Y66"/>
    <mergeCell ref="X63:Y63"/>
    <mergeCell ref="V59:W59"/>
    <mergeCell ref="X59:Y59"/>
    <mergeCell ref="X58:Y58"/>
    <mergeCell ref="Z63:AA63"/>
    <mergeCell ref="V64:W64"/>
    <mergeCell ref="X64:Y64"/>
    <mergeCell ref="Z64:AA64"/>
    <mergeCell ref="Z65:AA65"/>
    <mergeCell ref="Z66:AA66"/>
    <mergeCell ref="Z59:AA59"/>
    <mergeCell ref="AQ92:AR92"/>
    <mergeCell ref="AS92:AT92"/>
    <mergeCell ref="AU92:AV92"/>
    <mergeCell ref="AQ93:AR93"/>
    <mergeCell ref="AS93:AT93"/>
    <mergeCell ref="AU93:AV93"/>
    <mergeCell ref="AQ94:AR94"/>
    <mergeCell ref="AS94:AT94"/>
    <mergeCell ref="AU94:AV94"/>
    <mergeCell ref="AU75:AV75"/>
    <mergeCell ref="AQ76:AR76"/>
    <mergeCell ref="AS76:AT76"/>
    <mergeCell ref="AU76:AV76"/>
    <mergeCell ref="AQ91:AR91"/>
    <mergeCell ref="AS91:AT91"/>
    <mergeCell ref="AU91:AV91"/>
    <mergeCell ref="AQ89:AR89"/>
    <mergeCell ref="AQ90:AR90"/>
    <mergeCell ref="AS89:AT89"/>
    <mergeCell ref="AS90:AT90"/>
    <mergeCell ref="AU89:AV89"/>
    <mergeCell ref="AU90:AV90"/>
    <mergeCell ref="AQ77:AR77"/>
    <mergeCell ref="AQ78:AR78"/>
    <mergeCell ref="AS77:AT77"/>
    <mergeCell ref="AS78:AT78"/>
    <mergeCell ref="AU77:AV77"/>
    <mergeCell ref="AU78:AV78"/>
    <mergeCell ref="AU85:AV85"/>
    <mergeCell ref="AU86:AV86"/>
    <mergeCell ref="AQ84:AR84"/>
    <mergeCell ref="AQ79:AR79"/>
    <mergeCell ref="AS87:AT87"/>
    <mergeCell ref="AU67:AV67"/>
    <mergeCell ref="AS65:AT65"/>
    <mergeCell ref="AS66:AT66"/>
    <mergeCell ref="AU65:AV65"/>
    <mergeCell ref="AU66:AV66"/>
    <mergeCell ref="AU79:AV79"/>
    <mergeCell ref="AQ80:AR80"/>
    <mergeCell ref="AS80:AT80"/>
    <mergeCell ref="AU80:AV80"/>
    <mergeCell ref="AQ68:AR68"/>
    <mergeCell ref="AS68:AT68"/>
    <mergeCell ref="AU68:AV68"/>
    <mergeCell ref="AU69:AV69"/>
    <mergeCell ref="AU70:AV70"/>
    <mergeCell ref="AS74:AT74"/>
    <mergeCell ref="AU73:AV73"/>
    <mergeCell ref="AU74:AV74"/>
    <mergeCell ref="AQ73:AR73"/>
    <mergeCell ref="AQ71:AR71"/>
    <mergeCell ref="AS71:AT71"/>
    <mergeCell ref="AU71:AV71"/>
    <mergeCell ref="AS72:AT72"/>
    <mergeCell ref="AU72:AV72"/>
    <mergeCell ref="AS73:AT73"/>
    <mergeCell ref="AQ4:AW4"/>
    <mergeCell ref="AQ49:AR49"/>
    <mergeCell ref="AS49:AT49"/>
    <mergeCell ref="AU49:AV49"/>
    <mergeCell ref="AQ50:AR50"/>
    <mergeCell ref="AS50:AT50"/>
    <mergeCell ref="AU50:AV50"/>
    <mergeCell ref="AQ51:AR51"/>
    <mergeCell ref="AS51:AT51"/>
    <mergeCell ref="AU51:AV51"/>
    <mergeCell ref="AQ63:AR63"/>
    <mergeCell ref="AS63:AT63"/>
    <mergeCell ref="AU63:AV63"/>
    <mergeCell ref="AQ64:AR64"/>
    <mergeCell ref="AS64:AT64"/>
    <mergeCell ref="AU64:AV64"/>
    <mergeCell ref="AQ67:AR67"/>
    <mergeCell ref="V79:W79"/>
    <mergeCell ref="X79:Y79"/>
    <mergeCell ref="Z79:AA79"/>
    <mergeCell ref="V75:W75"/>
    <mergeCell ref="X75:Y75"/>
    <mergeCell ref="Z75:AA75"/>
    <mergeCell ref="V67:W67"/>
    <mergeCell ref="X67:Y67"/>
    <mergeCell ref="Z67:AA67"/>
    <mergeCell ref="V68:W68"/>
    <mergeCell ref="X68:Y68"/>
    <mergeCell ref="Z68:AA68"/>
    <mergeCell ref="V76:W76"/>
    <mergeCell ref="X76:Y76"/>
    <mergeCell ref="Z76:AA76"/>
    <mergeCell ref="AG65:AH65"/>
    <mergeCell ref="AG66:AH66"/>
    <mergeCell ref="AC4:AI4"/>
    <mergeCell ref="V4:AB4"/>
    <mergeCell ref="V49:W49"/>
    <mergeCell ref="X49:Y49"/>
    <mergeCell ref="Z49:AA49"/>
    <mergeCell ref="V50:W50"/>
    <mergeCell ref="X50:Y50"/>
    <mergeCell ref="Z50:AA50"/>
    <mergeCell ref="V51:W51"/>
    <mergeCell ref="X51:Y51"/>
    <mergeCell ref="Z51:AA51"/>
    <mergeCell ref="AJ4:AP4"/>
    <mergeCell ref="AC49:AD49"/>
    <mergeCell ref="AE49:AF49"/>
    <mergeCell ref="AG49:AH49"/>
    <mergeCell ref="V93:W93"/>
    <mergeCell ref="X93:Y93"/>
    <mergeCell ref="Z93:AA93"/>
    <mergeCell ref="V94:W94"/>
    <mergeCell ref="X94:Y94"/>
    <mergeCell ref="Z94:AA94"/>
    <mergeCell ref="V91:W91"/>
    <mergeCell ref="X91:Y91"/>
    <mergeCell ref="Z91:AA91"/>
    <mergeCell ref="V92:W92"/>
    <mergeCell ref="X92:Y92"/>
    <mergeCell ref="Z92:AA92"/>
    <mergeCell ref="V87:W87"/>
    <mergeCell ref="X87:Y87"/>
    <mergeCell ref="Z87:AA87"/>
    <mergeCell ref="V88:W88"/>
    <mergeCell ref="X88:Y88"/>
    <mergeCell ref="Z88:AA88"/>
    <mergeCell ref="V83:W83"/>
    <mergeCell ref="V63:W63"/>
    <mergeCell ref="AE83:AF83"/>
    <mergeCell ref="AG83:AH83"/>
    <mergeCell ref="AC80:AD80"/>
    <mergeCell ref="AE80:AF80"/>
    <mergeCell ref="AG80:AH80"/>
    <mergeCell ref="X83:Y83"/>
    <mergeCell ref="V80:W80"/>
    <mergeCell ref="X80:Y80"/>
    <mergeCell ref="Z80:AA80"/>
    <mergeCell ref="Z83:AA83"/>
    <mergeCell ref="AC83:AD83"/>
    <mergeCell ref="V60:W60"/>
    <mergeCell ref="X60:Y60"/>
    <mergeCell ref="Z60:AA60"/>
    <mergeCell ref="AC94:AD94"/>
    <mergeCell ref="AE94:AF94"/>
    <mergeCell ref="AG94:AH94"/>
    <mergeCell ref="AC63:AD63"/>
    <mergeCell ref="AE63:AF63"/>
    <mergeCell ref="AC92:AD92"/>
    <mergeCell ref="AE92:AF92"/>
    <mergeCell ref="AG92:AH92"/>
    <mergeCell ref="AC93:AD93"/>
    <mergeCell ref="AE93:AF93"/>
    <mergeCell ref="AG93:AH93"/>
    <mergeCell ref="AC88:AD88"/>
    <mergeCell ref="AE88:AF88"/>
    <mergeCell ref="AG88:AH88"/>
    <mergeCell ref="AC91:AD91"/>
    <mergeCell ref="AE91:AF91"/>
    <mergeCell ref="AG91:AH91"/>
    <mergeCell ref="AC84:AD84"/>
    <mergeCell ref="AC67:AD67"/>
    <mergeCell ref="AE67:AF67"/>
    <mergeCell ref="AG67:AH67"/>
    <mergeCell ref="AC59:AD59"/>
    <mergeCell ref="AE59:AF59"/>
    <mergeCell ref="AG59:AH59"/>
    <mergeCell ref="AC60:AD60"/>
    <mergeCell ref="AE60:AF60"/>
    <mergeCell ref="AG60:AH60"/>
    <mergeCell ref="AG63:AH63"/>
    <mergeCell ref="AC64:AD64"/>
    <mergeCell ref="AE64:AF64"/>
    <mergeCell ref="AG64:AH64"/>
    <mergeCell ref="AJ94:AK94"/>
    <mergeCell ref="AJ83:AK83"/>
    <mergeCell ref="AJ84:AK84"/>
    <mergeCell ref="AJ87:AK87"/>
    <mergeCell ref="AJ68:AK68"/>
    <mergeCell ref="AJ75:AK75"/>
    <mergeCell ref="AJ76:AK76"/>
    <mergeCell ref="AJ79:AK79"/>
    <mergeCell ref="AJ80:AK80"/>
    <mergeCell ref="AJ93:AK93"/>
    <mergeCell ref="AJ92:AK92"/>
    <mergeCell ref="AN94:AO94"/>
    <mergeCell ref="AL88:AM88"/>
    <mergeCell ref="AN88:AO88"/>
    <mergeCell ref="AL91:AM91"/>
    <mergeCell ref="AN91:AO91"/>
    <mergeCell ref="AL92:AM92"/>
    <mergeCell ref="AN92:AO92"/>
    <mergeCell ref="AL68:AM68"/>
    <mergeCell ref="AN68:AO68"/>
    <mergeCell ref="AL83:AM83"/>
    <mergeCell ref="AN83:AO83"/>
    <mergeCell ref="AL84:AM84"/>
    <mergeCell ref="AN84:AO84"/>
    <mergeCell ref="AL87:AM87"/>
    <mergeCell ref="AN87:AO87"/>
    <mergeCell ref="AL80:AM80"/>
    <mergeCell ref="AN80:AO80"/>
    <mergeCell ref="AN93:AO93"/>
    <mergeCell ref="AL93:AM93"/>
    <mergeCell ref="AN71:AO71"/>
    <mergeCell ref="AL94:AM94"/>
    <mergeCell ref="AL81:AM81"/>
    <mergeCell ref="AL82:AM82"/>
    <mergeCell ref="AN81:AO81"/>
    <mergeCell ref="AL59:AM59"/>
    <mergeCell ref="AN59:AO59"/>
    <mergeCell ref="AL60:AM60"/>
    <mergeCell ref="AN60:AO60"/>
    <mergeCell ref="AL63:AM63"/>
    <mergeCell ref="AN63:AO63"/>
    <mergeCell ref="AJ88:AK88"/>
    <mergeCell ref="AJ91:AK91"/>
    <mergeCell ref="AJ59:AK59"/>
    <mergeCell ref="AJ60:AK60"/>
    <mergeCell ref="AJ63:AK63"/>
    <mergeCell ref="AJ64:AK64"/>
    <mergeCell ref="AJ67:AK67"/>
    <mergeCell ref="AL75:AM75"/>
    <mergeCell ref="AN75:AO75"/>
    <mergeCell ref="AL76:AM76"/>
    <mergeCell ref="AN76:AO76"/>
    <mergeCell ref="AL79:AM79"/>
    <mergeCell ref="AN79:AO79"/>
    <mergeCell ref="AL64:AM64"/>
    <mergeCell ref="AN64:AO64"/>
    <mergeCell ref="AL67:AM67"/>
    <mergeCell ref="AN67:AO67"/>
    <mergeCell ref="AL66:AM66"/>
    <mergeCell ref="Z58:AA58"/>
    <mergeCell ref="AC50:AD50"/>
    <mergeCell ref="AE50:AF50"/>
    <mergeCell ref="AG50:AH50"/>
    <mergeCell ref="AC51:AD51"/>
    <mergeCell ref="AE51:AF51"/>
    <mergeCell ref="AC57:AH57"/>
    <mergeCell ref="AC58:AD58"/>
    <mergeCell ref="AE58:AF58"/>
    <mergeCell ref="AG58:AH58"/>
    <mergeCell ref="AG51:AH51"/>
    <mergeCell ref="D4:I4"/>
    <mergeCell ref="P4:U4"/>
    <mergeCell ref="J4:O4"/>
    <mergeCell ref="B4:B5"/>
    <mergeCell ref="B6:B9"/>
    <mergeCell ref="B10:B13"/>
    <mergeCell ref="B14:B17"/>
    <mergeCell ref="B22:B25"/>
    <mergeCell ref="B26:B29"/>
    <mergeCell ref="B18:B21"/>
    <mergeCell ref="B91:B94"/>
    <mergeCell ref="B42:B45"/>
    <mergeCell ref="B57:B58"/>
    <mergeCell ref="D57:I57"/>
    <mergeCell ref="P57:R57"/>
    <mergeCell ref="J57:L57"/>
    <mergeCell ref="AL51:AM51"/>
    <mergeCell ref="AN51:AO51"/>
    <mergeCell ref="B30:B33"/>
    <mergeCell ref="B34:B37"/>
    <mergeCell ref="B38:B41"/>
    <mergeCell ref="AJ49:AK49"/>
    <mergeCell ref="AL49:AM49"/>
    <mergeCell ref="AN49:AO49"/>
    <mergeCell ref="AJ50:AK50"/>
    <mergeCell ref="AJ51:AK51"/>
    <mergeCell ref="AL50:AM50"/>
    <mergeCell ref="AN50:AO50"/>
    <mergeCell ref="AJ58:AK58"/>
    <mergeCell ref="AL58:AM58"/>
    <mergeCell ref="AN58:AO58"/>
    <mergeCell ref="AJ57:AO57"/>
    <mergeCell ref="V57:AA57"/>
    <mergeCell ref="V58:W58"/>
    <mergeCell ref="B71:B74"/>
    <mergeCell ref="V71:W71"/>
    <mergeCell ref="X71:Y71"/>
    <mergeCell ref="Z71:AA71"/>
    <mergeCell ref="AC71:AD71"/>
    <mergeCell ref="AE71:AF71"/>
    <mergeCell ref="AG71:AH71"/>
    <mergeCell ref="AJ71:AK71"/>
    <mergeCell ref="AL71:AM71"/>
    <mergeCell ref="V73:W73"/>
    <mergeCell ref="X73:Y73"/>
    <mergeCell ref="V74:W74"/>
    <mergeCell ref="X74:Y74"/>
    <mergeCell ref="V72:W72"/>
    <mergeCell ref="X72:Y72"/>
    <mergeCell ref="Z72:AA72"/>
    <mergeCell ref="AC72:AD72"/>
    <mergeCell ref="AE72:AF72"/>
    <mergeCell ref="AG72:AH72"/>
    <mergeCell ref="AJ72:AK72"/>
    <mergeCell ref="AL72:AM72"/>
  </mergeCells>
  <phoneticPr fontId="16" type="noConversion"/>
  <pageMargins left="0.25" right="0.25" top="0.75" bottom="0.75" header="0.3" footer="0.3"/>
  <pageSetup paperSize="8" orientation="landscape" r:id="rId1"/>
  <headerFooter>
    <oddFooter>&amp;C_x000D_&amp;1#&amp;"Calibri"&amp;10&amp;K000000 C2 - Internal</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E5A9F-90C7-4FDC-8B20-14C798219774}">
  <sheetPr codeName="Sheet27">
    <tabColor theme="0"/>
  </sheetPr>
  <dimension ref="A1:DA22"/>
  <sheetViews>
    <sheetView showGridLines="0" zoomScaleNormal="100" workbookViewId="0">
      <pane xSplit="15" topLeftCell="AE1" activePane="topRight" state="frozen"/>
      <selection pane="topRight"/>
    </sheetView>
  </sheetViews>
  <sheetFormatPr defaultColWidth="8.85546875" defaultRowHeight="13.9"/>
  <cols>
    <col min="1" max="1" width="12" style="8" customWidth="1"/>
    <col min="2" max="15" width="11.140625" style="8" hidden="1" customWidth="1"/>
    <col min="16" max="89" width="7" style="8" customWidth="1"/>
    <col min="90" max="99" width="8.85546875" style="8"/>
    <col min="100" max="101" width="0" style="8" hidden="1" customWidth="1"/>
    <col min="102" max="103" width="8.85546875" style="8"/>
    <col min="104" max="105" width="0" style="8" hidden="1" customWidth="1"/>
    <col min="106" max="16384" width="8.85546875" style="8"/>
  </cols>
  <sheetData>
    <row r="1" spans="1:105" ht="17.45">
      <c r="P1" s="15" t="s">
        <v>918</v>
      </c>
    </row>
    <row r="2" spans="1:105" ht="17.45">
      <c r="B2" s="7"/>
      <c r="C2" s="7"/>
      <c r="D2" s="7"/>
      <c r="E2" s="7"/>
      <c r="F2" s="7"/>
      <c r="G2" s="7"/>
      <c r="H2" s="7"/>
      <c r="I2" s="7"/>
      <c r="J2" s="7"/>
      <c r="K2" s="19"/>
      <c r="L2" s="7"/>
      <c r="M2" s="7"/>
      <c r="P2" s="15" t="s">
        <v>919</v>
      </c>
    </row>
    <row r="3" spans="1:105">
      <c r="P3" s="4247" t="s">
        <v>920</v>
      </c>
      <c r="Q3" s="4247"/>
      <c r="R3" s="4247"/>
      <c r="S3" s="4247"/>
      <c r="T3" s="4247"/>
      <c r="U3" s="4247"/>
      <c r="V3" s="4247"/>
      <c r="W3" s="4247"/>
      <c r="X3" s="4247"/>
      <c r="Y3" s="4247"/>
      <c r="Z3" s="4247"/>
      <c r="AA3" s="4247"/>
      <c r="AB3" s="4247"/>
    </row>
    <row r="4" spans="1:105">
      <c r="N4" s="8" t="s">
        <v>196</v>
      </c>
      <c r="P4" s="4248" t="s">
        <v>921</v>
      </c>
      <c r="Q4" s="4248"/>
      <c r="R4" s="4248"/>
      <c r="S4" s="4248"/>
      <c r="T4" s="4248"/>
      <c r="U4" s="4248"/>
      <c r="V4" s="4248"/>
      <c r="W4" s="4248"/>
      <c r="X4" s="4248"/>
      <c r="Y4" s="4248"/>
      <c r="Z4" s="4248"/>
      <c r="AA4" s="4248"/>
      <c r="AB4" s="4248"/>
    </row>
    <row r="5" spans="1:105" ht="14.45" thickBot="1">
      <c r="A5" s="7"/>
      <c r="B5" s="7"/>
      <c r="C5" s="7"/>
      <c r="D5" s="7"/>
      <c r="E5" s="7"/>
      <c r="F5" s="7"/>
      <c r="G5" s="7"/>
      <c r="H5" s="7"/>
      <c r="I5" s="7"/>
      <c r="J5" s="7"/>
      <c r="K5" s="7"/>
      <c r="L5" s="7"/>
      <c r="M5" s="7"/>
    </row>
    <row r="6" spans="1:105" ht="15" thickBot="1">
      <c r="A6" s="7"/>
      <c r="B6" s="4257" t="s">
        <v>12</v>
      </c>
      <c r="C6" s="4258"/>
      <c r="D6" s="4258"/>
      <c r="E6" s="4258"/>
      <c r="F6" s="4258"/>
      <c r="G6" s="4258"/>
      <c r="H6" s="4258"/>
      <c r="I6" s="4258"/>
      <c r="J6" s="4258"/>
      <c r="K6" s="4258"/>
      <c r="L6" s="4258"/>
      <c r="M6" s="4258"/>
      <c r="N6" s="4258"/>
      <c r="O6" s="4259"/>
      <c r="P6" s="4241" t="s">
        <v>13</v>
      </c>
      <c r="Q6" s="4232"/>
      <c r="R6" s="4232"/>
      <c r="S6" s="4232"/>
      <c r="T6" s="4232"/>
      <c r="U6" s="4232"/>
      <c r="V6" s="4232"/>
      <c r="W6" s="4232"/>
      <c r="X6" s="4232"/>
      <c r="Y6" s="4232"/>
      <c r="Z6" s="4232"/>
      <c r="AA6" s="4232"/>
      <c r="AB6" s="4232"/>
      <c r="AC6" s="4242"/>
      <c r="AD6" s="4241" t="s">
        <v>14</v>
      </c>
      <c r="AE6" s="4232"/>
      <c r="AF6" s="4232"/>
      <c r="AG6" s="4232"/>
      <c r="AH6" s="4232"/>
      <c r="AI6" s="4232"/>
      <c r="AJ6" s="4232"/>
      <c r="AK6" s="4232"/>
      <c r="AL6" s="4232"/>
      <c r="AM6" s="4232"/>
      <c r="AN6" s="4232"/>
      <c r="AO6" s="4232"/>
      <c r="AP6" s="4232"/>
      <c r="AQ6" s="4242"/>
      <c r="AR6" s="4230" t="s">
        <v>15</v>
      </c>
      <c r="AS6" s="4231"/>
      <c r="AT6" s="4232"/>
      <c r="AU6" s="4232"/>
      <c r="AV6" s="4232"/>
      <c r="AW6" s="4232"/>
      <c r="AX6" s="4232"/>
      <c r="AY6" s="4232"/>
      <c r="AZ6" s="4232"/>
      <c r="BA6" s="4232"/>
      <c r="BB6" s="4232"/>
      <c r="BC6" s="4232"/>
      <c r="BD6" s="4232"/>
      <c r="BE6" s="4242"/>
      <c r="BF6" s="4230" t="s">
        <v>16</v>
      </c>
      <c r="BG6" s="4231"/>
      <c r="BH6" s="4232"/>
      <c r="BI6" s="4232"/>
      <c r="BJ6" s="4232"/>
      <c r="BK6" s="4232"/>
      <c r="BL6" s="4232"/>
      <c r="BM6" s="4232"/>
      <c r="BN6" s="4232"/>
      <c r="BO6" s="4232"/>
      <c r="BP6" s="4232"/>
      <c r="BQ6" s="4232"/>
      <c r="BR6" s="4232"/>
      <c r="BS6" s="4232"/>
      <c r="BT6" s="4232"/>
      <c r="BU6" s="4242"/>
      <c r="BV6" s="4230" t="s">
        <v>163</v>
      </c>
      <c r="BW6" s="4231"/>
      <c r="BX6" s="4232"/>
      <c r="BY6" s="4232"/>
      <c r="BZ6" s="4232"/>
      <c r="CA6" s="4232"/>
      <c r="CB6" s="4232"/>
      <c r="CC6" s="4232"/>
      <c r="CD6" s="4232"/>
      <c r="CE6" s="4232"/>
      <c r="CF6" s="4232"/>
      <c r="CG6" s="4232"/>
      <c r="CH6" s="4232"/>
      <c r="CI6" s="4232"/>
      <c r="CJ6" s="4232"/>
      <c r="CK6" s="4232"/>
      <c r="CL6" s="4230" t="s">
        <v>164</v>
      </c>
      <c r="CM6" s="4231"/>
      <c r="CN6" s="4232"/>
      <c r="CO6" s="4232"/>
      <c r="CP6" s="4232"/>
      <c r="CQ6" s="4232"/>
      <c r="CR6" s="4232"/>
      <c r="CS6" s="4232"/>
      <c r="CT6" s="4232"/>
      <c r="CU6" s="4232"/>
      <c r="CV6" s="4232"/>
      <c r="CW6" s="4232"/>
      <c r="CX6" s="4232"/>
      <c r="CY6" s="4232"/>
      <c r="CZ6" s="4232"/>
      <c r="DA6" s="4242"/>
    </row>
    <row r="7" spans="1:105" ht="14.25" customHeight="1">
      <c r="A7" s="2"/>
      <c r="B7" s="4249" t="s">
        <v>183</v>
      </c>
      <c r="C7" s="4250"/>
      <c r="D7" s="4251" t="s">
        <v>165</v>
      </c>
      <c r="E7" s="4252"/>
      <c r="F7" s="4245" t="s">
        <v>172</v>
      </c>
      <c r="G7" s="4253"/>
      <c r="H7" s="4251" t="s">
        <v>399</v>
      </c>
      <c r="I7" s="4252"/>
      <c r="J7" s="4254" t="s">
        <v>177</v>
      </c>
      <c r="K7" s="4254"/>
      <c r="L7" s="4255" t="s">
        <v>178</v>
      </c>
      <c r="M7" s="4256"/>
      <c r="N7" s="4245" t="s">
        <v>182</v>
      </c>
      <c r="O7" s="4246"/>
      <c r="P7" s="4243" t="s">
        <v>183</v>
      </c>
      <c r="Q7" s="4244"/>
      <c r="R7" s="4237" t="s">
        <v>165</v>
      </c>
      <c r="S7" s="4238"/>
      <c r="T7" s="4239" t="s">
        <v>172</v>
      </c>
      <c r="U7" s="4244"/>
      <c r="V7" s="4237" t="s">
        <v>399</v>
      </c>
      <c r="W7" s="4238"/>
      <c r="X7" s="4236" t="s">
        <v>177</v>
      </c>
      <c r="Y7" s="4236"/>
      <c r="Z7" s="4235" t="s">
        <v>178</v>
      </c>
      <c r="AA7" s="4234"/>
      <c r="AB7" s="4239" t="s">
        <v>182</v>
      </c>
      <c r="AC7" s="4240"/>
      <c r="AD7" s="4243" t="s">
        <v>183</v>
      </c>
      <c r="AE7" s="4244"/>
      <c r="AF7" s="4237" t="s">
        <v>165</v>
      </c>
      <c r="AG7" s="4238"/>
      <c r="AH7" s="4239" t="s">
        <v>172</v>
      </c>
      <c r="AI7" s="4244"/>
      <c r="AJ7" s="4237" t="s">
        <v>399</v>
      </c>
      <c r="AK7" s="4238"/>
      <c r="AL7" s="4236" t="s">
        <v>177</v>
      </c>
      <c r="AM7" s="4236"/>
      <c r="AN7" s="4235" t="s">
        <v>178</v>
      </c>
      <c r="AO7" s="4234"/>
      <c r="AP7" s="4239" t="s">
        <v>182</v>
      </c>
      <c r="AQ7" s="4240"/>
      <c r="AR7" s="4243" t="s">
        <v>183</v>
      </c>
      <c r="AS7" s="4244"/>
      <c r="AT7" s="4237" t="s">
        <v>165</v>
      </c>
      <c r="AU7" s="4238"/>
      <c r="AV7" s="4239" t="s">
        <v>172</v>
      </c>
      <c r="AW7" s="4244"/>
      <c r="AX7" s="4237" t="s">
        <v>399</v>
      </c>
      <c r="AY7" s="4238"/>
      <c r="AZ7" s="4236" t="s">
        <v>177</v>
      </c>
      <c r="BA7" s="4236"/>
      <c r="BB7" s="4235" t="s">
        <v>178</v>
      </c>
      <c r="BC7" s="4234"/>
      <c r="BD7" s="4239" t="s">
        <v>182</v>
      </c>
      <c r="BE7" s="4240"/>
      <c r="BF7" s="4233" t="s">
        <v>183</v>
      </c>
      <c r="BG7" s="4234"/>
      <c r="BH7" s="4235" t="s">
        <v>165</v>
      </c>
      <c r="BI7" s="4234"/>
      <c r="BJ7" s="4235" t="s">
        <v>172</v>
      </c>
      <c r="BK7" s="4234"/>
      <c r="BL7" s="4235" t="s">
        <v>399</v>
      </c>
      <c r="BM7" s="4234"/>
      <c r="BN7" s="4235" t="s">
        <v>177</v>
      </c>
      <c r="BO7" s="4234"/>
      <c r="BP7" s="4235" t="s">
        <v>178</v>
      </c>
      <c r="BQ7" s="4234"/>
      <c r="BR7" s="4235" t="s">
        <v>282</v>
      </c>
      <c r="BS7" s="4234"/>
      <c r="BT7" s="4235" t="s">
        <v>182</v>
      </c>
      <c r="BU7" s="4260"/>
      <c r="BV7" s="4233" t="s">
        <v>183</v>
      </c>
      <c r="BW7" s="4234"/>
      <c r="BX7" s="4235" t="s">
        <v>165</v>
      </c>
      <c r="BY7" s="4234"/>
      <c r="BZ7" s="4235" t="s">
        <v>172</v>
      </c>
      <c r="CA7" s="4234"/>
      <c r="CB7" s="4235" t="s">
        <v>399</v>
      </c>
      <c r="CC7" s="4234"/>
      <c r="CD7" s="4235" t="s">
        <v>177</v>
      </c>
      <c r="CE7" s="4234"/>
      <c r="CF7" s="4235" t="s">
        <v>178</v>
      </c>
      <c r="CG7" s="4234"/>
      <c r="CH7" s="4235" t="s">
        <v>282</v>
      </c>
      <c r="CI7" s="4234"/>
      <c r="CJ7" s="4235" t="s">
        <v>182</v>
      </c>
      <c r="CK7" s="4236"/>
      <c r="CL7" s="4233" t="s">
        <v>183</v>
      </c>
      <c r="CM7" s="4234"/>
      <c r="CN7" s="4235" t="s">
        <v>165</v>
      </c>
      <c r="CO7" s="4234"/>
      <c r="CP7" s="4235" t="s">
        <v>172</v>
      </c>
      <c r="CQ7" s="4234"/>
      <c r="CR7" s="4235" t="s">
        <v>399</v>
      </c>
      <c r="CS7" s="4234"/>
      <c r="CT7" s="4235" t="s">
        <v>177</v>
      </c>
      <c r="CU7" s="4234"/>
      <c r="CV7" s="4235" t="s">
        <v>178</v>
      </c>
      <c r="CW7" s="4234"/>
      <c r="CX7" s="4235" t="s">
        <v>282</v>
      </c>
      <c r="CY7" s="4234"/>
      <c r="CZ7" s="4235" t="s">
        <v>182</v>
      </c>
      <c r="DA7" s="4260"/>
    </row>
    <row r="8" spans="1:105">
      <c r="A8" s="2"/>
      <c r="B8" s="77" t="s">
        <v>251</v>
      </c>
      <c r="C8" s="78" t="s">
        <v>253</v>
      </c>
      <c r="D8" s="69" t="s">
        <v>251</v>
      </c>
      <c r="E8" s="70" t="s">
        <v>253</v>
      </c>
      <c r="F8" s="61" t="s">
        <v>251</v>
      </c>
      <c r="G8" s="65" t="s">
        <v>253</v>
      </c>
      <c r="H8" s="69" t="s">
        <v>251</v>
      </c>
      <c r="I8" s="70" t="s">
        <v>253</v>
      </c>
      <c r="J8" s="61" t="s">
        <v>251</v>
      </c>
      <c r="K8" s="65" t="s">
        <v>253</v>
      </c>
      <c r="L8" s="69" t="s">
        <v>251</v>
      </c>
      <c r="M8" s="70" t="s">
        <v>253</v>
      </c>
      <c r="N8" s="61" t="s">
        <v>251</v>
      </c>
      <c r="O8" s="18" t="s">
        <v>253</v>
      </c>
      <c r="P8" s="1673" t="s">
        <v>251</v>
      </c>
      <c r="Q8" s="1674" t="s">
        <v>253</v>
      </c>
      <c r="R8" s="1675" t="s">
        <v>251</v>
      </c>
      <c r="S8" s="1676" t="s">
        <v>253</v>
      </c>
      <c r="T8" s="1677" t="s">
        <v>251</v>
      </c>
      <c r="U8" s="1674" t="s">
        <v>253</v>
      </c>
      <c r="V8" s="1675" t="s">
        <v>251</v>
      </c>
      <c r="W8" s="1678" t="s">
        <v>253</v>
      </c>
      <c r="X8" s="1677" t="s">
        <v>251</v>
      </c>
      <c r="Y8" s="1674" t="s">
        <v>253</v>
      </c>
      <c r="Z8" s="1675" t="s">
        <v>251</v>
      </c>
      <c r="AA8" s="1676" t="s">
        <v>253</v>
      </c>
      <c r="AB8" s="1677" t="s">
        <v>251</v>
      </c>
      <c r="AC8" s="1674" t="s">
        <v>253</v>
      </c>
      <c r="AD8" s="1673" t="s">
        <v>251</v>
      </c>
      <c r="AE8" s="1674" t="s">
        <v>253</v>
      </c>
      <c r="AF8" s="1675" t="s">
        <v>251</v>
      </c>
      <c r="AG8" s="1676" t="s">
        <v>253</v>
      </c>
      <c r="AH8" s="1677" t="s">
        <v>251</v>
      </c>
      <c r="AI8" s="1674" t="s">
        <v>253</v>
      </c>
      <c r="AJ8" s="1675" t="s">
        <v>251</v>
      </c>
      <c r="AK8" s="1678" t="s">
        <v>253</v>
      </c>
      <c r="AL8" s="1677" t="s">
        <v>251</v>
      </c>
      <c r="AM8" s="1674" t="s">
        <v>253</v>
      </c>
      <c r="AN8" s="1675" t="s">
        <v>251</v>
      </c>
      <c r="AO8" s="1676" t="s">
        <v>253</v>
      </c>
      <c r="AP8" s="1677" t="s">
        <v>251</v>
      </c>
      <c r="AQ8" s="1674" t="s">
        <v>253</v>
      </c>
      <c r="AR8" s="1673" t="s">
        <v>251</v>
      </c>
      <c r="AS8" s="1674" t="s">
        <v>253</v>
      </c>
      <c r="AT8" s="1675" t="s">
        <v>251</v>
      </c>
      <c r="AU8" s="1676" t="s">
        <v>253</v>
      </c>
      <c r="AV8" s="1677" t="s">
        <v>251</v>
      </c>
      <c r="AW8" s="1674" t="s">
        <v>253</v>
      </c>
      <c r="AX8" s="1675" t="s">
        <v>251</v>
      </c>
      <c r="AY8" s="1678" t="s">
        <v>253</v>
      </c>
      <c r="AZ8" s="1677" t="s">
        <v>251</v>
      </c>
      <c r="BA8" s="1674" t="s">
        <v>253</v>
      </c>
      <c r="BB8" s="1675" t="s">
        <v>251</v>
      </c>
      <c r="BC8" s="1676" t="s">
        <v>253</v>
      </c>
      <c r="BD8" s="1677" t="s">
        <v>251</v>
      </c>
      <c r="BE8" s="1674" t="s">
        <v>253</v>
      </c>
      <c r="BF8" s="1715" t="s">
        <v>251</v>
      </c>
      <c r="BG8" s="1680" t="s">
        <v>253</v>
      </c>
      <c r="BH8" s="1675" t="s">
        <v>251</v>
      </c>
      <c r="BI8" s="1720" t="s">
        <v>253</v>
      </c>
      <c r="BJ8" s="1677" t="s">
        <v>251</v>
      </c>
      <c r="BK8" s="1674" t="s">
        <v>253</v>
      </c>
      <c r="BL8" s="1675" t="s">
        <v>251</v>
      </c>
      <c r="BM8" s="1679" t="s">
        <v>253</v>
      </c>
      <c r="BN8" s="1728" t="s">
        <v>251</v>
      </c>
      <c r="BO8" s="1679" t="s">
        <v>253</v>
      </c>
      <c r="BP8" s="1728" t="s">
        <v>251</v>
      </c>
      <c r="BQ8" s="1729" t="s">
        <v>253</v>
      </c>
      <c r="BR8" s="1675" t="s">
        <v>251</v>
      </c>
      <c r="BS8" s="1679" t="s">
        <v>253</v>
      </c>
      <c r="BT8" s="1675" t="s">
        <v>251</v>
      </c>
      <c r="BU8" s="1681" t="s">
        <v>253</v>
      </c>
      <c r="BV8" s="1715" t="s">
        <v>251</v>
      </c>
      <c r="BW8" s="1680" t="s">
        <v>253</v>
      </c>
      <c r="BX8" s="1675" t="s">
        <v>251</v>
      </c>
      <c r="BY8" s="1720" t="s">
        <v>253</v>
      </c>
      <c r="BZ8" s="1677" t="s">
        <v>251</v>
      </c>
      <c r="CA8" s="1674" t="s">
        <v>253</v>
      </c>
      <c r="CB8" s="1675" t="s">
        <v>251</v>
      </c>
      <c r="CC8" s="1679" t="s">
        <v>253</v>
      </c>
      <c r="CD8" s="1728" t="s">
        <v>251</v>
      </c>
      <c r="CE8" s="1679" t="s">
        <v>253</v>
      </c>
      <c r="CF8" s="1728" t="s">
        <v>251</v>
      </c>
      <c r="CG8" s="1729" t="s">
        <v>253</v>
      </c>
      <c r="CH8" s="1675" t="s">
        <v>251</v>
      </c>
      <c r="CI8" s="1679" t="s">
        <v>253</v>
      </c>
      <c r="CJ8" s="1675" t="s">
        <v>251</v>
      </c>
      <c r="CK8" s="1679" t="s">
        <v>253</v>
      </c>
      <c r="CL8" s="1673" t="s">
        <v>251</v>
      </c>
      <c r="CM8" s="1680" t="s">
        <v>253</v>
      </c>
      <c r="CN8" s="1675" t="s">
        <v>251</v>
      </c>
      <c r="CO8" s="2870" t="s">
        <v>253</v>
      </c>
      <c r="CP8" s="1677" t="s">
        <v>251</v>
      </c>
      <c r="CQ8" s="1674" t="s">
        <v>253</v>
      </c>
      <c r="CR8" s="1675" t="s">
        <v>251</v>
      </c>
      <c r="CS8" s="1679" t="s">
        <v>253</v>
      </c>
      <c r="CT8" s="1675" t="s">
        <v>251</v>
      </c>
      <c r="CU8" s="1679" t="s">
        <v>253</v>
      </c>
      <c r="CV8" s="1675" t="s">
        <v>251</v>
      </c>
      <c r="CW8" s="1679" t="s">
        <v>253</v>
      </c>
      <c r="CX8" s="1675" t="s">
        <v>251</v>
      </c>
      <c r="CY8" s="1679" t="s">
        <v>253</v>
      </c>
      <c r="CZ8" s="1675" t="s">
        <v>251</v>
      </c>
      <c r="DA8" s="1681" t="s">
        <v>253</v>
      </c>
    </row>
    <row r="9" spans="1:105" s="6" customFormat="1" ht="13.15">
      <c r="A9" s="1682" t="s">
        <v>806</v>
      </c>
      <c r="B9" s="79" t="s">
        <v>252</v>
      </c>
      <c r="C9" s="80" t="s">
        <v>252</v>
      </c>
      <c r="D9" s="71" t="s">
        <v>252</v>
      </c>
      <c r="E9" s="72" t="s">
        <v>252</v>
      </c>
      <c r="F9" s="62" t="s">
        <v>252</v>
      </c>
      <c r="G9" s="66" t="s">
        <v>252</v>
      </c>
      <c r="H9" s="71" t="s">
        <v>252</v>
      </c>
      <c r="I9" s="72" t="s">
        <v>252</v>
      </c>
      <c r="J9" s="62" t="s">
        <v>252</v>
      </c>
      <c r="K9" s="66" t="s">
        <v>252</v>
      </c>
      <c r="L9" s="71" t="s">
        <v>252</v>
      </c>
      <c r="M9" s="72" t="s">
        <v>252</v>
      </c>
      <c r="N9" s="62" t="s">
        <v>252</v>
      </c>
      <c r="O9" s="22" t="s">
        <v>252</v>
      </c>
      <c r="P9" s="1704">
        <v>1</v>
      </c>
      <c r="Q9" s="1705">
        <v>0.92586636256967159</v>
      </c>
      <c r="R9" s="1706">
        <v>1</v>
      </c>
      <c r="S9" s="1707">
        <v>0.93410755573311099</v>
      </c>
      <c r="T9" s="1708">
        <v>1</v>
      </c>
      <c r="U9" s="1709">
        <v>0.82516112817282838</v>
      </c>
      <c r="V9" s="1706">
        <v>1</v>
      </c>
      <c r="W9" s="1707">
        <v>0.89757644448860752</v>
      </c>
      <c r="X9" s="1708">
        <v>1</v>
      </c>
      <c r="Y9" s="1709">
        <v>0.25941529426784116</v>
      </c>
      <c r="Z9" s="1706">
        <v>1</v>
      </c>
      <c r="AA9" s="1707">
        <v>0</v>
      </c>
      <c r="AB9" s="1708">
        <v>0.78663919952913486</v>
      </c>
      <c r="AC9" s="1709">
        <v>1</v>
      </c>
      <c r="AD9" s="1704">
        <v>1</v>
      </c>
      <c r="AE9" s="1705">
        <v>0.90317909447525735</v>
      </c>
      <c r="AF9" s="1706">
        <v>1</v>
      </c>
      <c r="AG9" s="1707">
        <v>0.94470167032661845</v>
      </c>
      <c r="AH9" s="1708">
        <v>1</v>
      </c>
      <c r="AI9" s="1709">
        <v>0.8241582937241132</v>
      </c>
      <c r="AJ9" s="1706">
        <v>1</v>
      </c>
      <c r="AK9" s="1707">
        <v>0.85400008869760091</v>
      </c>
      <c r="AL9" s="1708">
        <v>1</v>
      </c>
      <c r="AM9" s="1709">
        <v>0.34366360187745121</v>
      </c>
      <c r="AN9" s="1706">
        <v>1</v>
      </c>
      <c r="AO9" s="1707">
        <v>0</v>
      </c>
      <c r="AP9" s="1708">
        <v>0</v>
      </c>
      <c r="AQ9" s="1709">
        <v>0</v>
      </c>
      <c r="AR9" s="1704">
        <v>1</v>
      </c>
      <c r="AS9" s="1705">
        <v>0.82</v>
      </c>
      <c r="AT9" s="1706">
        <v>1</v>
      </c>
      <c r="AU9" s="1707">
        <v>0.93</v>
      </c>
      <c r="AV9" s="1708">
        <v>1</v>
      </c>
      <c r="AW9" s="1709">
        <v>0.73</v>
      </c>
      <c r="AX9" s="1706">
        <v>1</v>
      </c>
      <c r="AY9" s="1707">
        <v>0.8</v>
      </c>
      <c r="AZ9" s="1708">
        <v>1</v>
      </c>
      <c r="BA9" s="1709">
        <v>0.4</v>
      </c>
      <c r="BB9" s="1706">
        <v>1</v>
      </c>
      <c r="BC9" s="1707">
        <v>1</v>
      </c>
      <c r="BD9" s="1708">
        <v>1</v>
      </c>
      <c r="BE9" s="1709">
        <v>1</v>
      </c>
      <c r="BF9" s="1716">
        <v>1</v>
      </c>
      <c r="BG9" s="1712">
        <v>0.94</v>
      </c>
      <c r="BH9" s="1722">
        <v>1</v>
      </c>
      <c r="BI9" s="1708">
        <v>0.99</v>
      </c>
      <c r="BJ9" s="1727">
        <v>1</v>
      </c>
      <c r="BK9" s="1708">
        <v>0.86</v>
      </c>
      <c r="BL9" s="1727">
        <v>1</v>
      </c>
      <c r="BM9" s="1708">
        <v>0.91</v>
      </c>
      <c r="BN9" s="1727">
        <v>1</v>
      </c>
      <c r="BO9" s="1708">
        <v>0.89</v>
      </c>
      <c r="BP9" s="1727">
        <v>1</v>
      </c>
      <c r="BQ9" s="1710" t="s">
        <v>132</v>
      </c>
      <c r="BR9" s="1731" t="s">
        <v>24</v>
      </c>
      <c r="BS9" s="1711" t="s">
        <v>24</v>
      </c>
      <c r="BT9" s="1727">
        <v>1</v>
      </c>
      <c r="BU9" s="1708">
        <v>0.68</v>
      </c>
      <c r="BV9" s="1716">
        <v>1</v>
      </c>
      <c r="BW9" s="1712">
        <v>0.88</v>
      </c>
      <c r="BX9" s="1722">
        <v>1</v>
      </c>
      <c r="BY9" s="1708">
        <v>0.97</v>
      </c>
      <c r="BZ9" s="1727">
        <v>1</v>
      </c>
      <c r="CA9" s="1708">
        <v>0.8</v>
      </c>
      <c r="CB9" s="1727">
        <v>1</v>
      </c>
      <c r="CC9" s="1708">
        <v>0.83</v>
      </c>
      <c r="CD9" s="1727">
        <v>1</v>
      </c>
      <c r="CE9" s="1708">
        <v>0.4</v>
      </c>
      <c r="CF9" s="1727" t="s">
        <v>132</v>
      </c>
      <c r="CG9" s="1710" t="s">
        <v>132</v>
      </c>
      <c r="CH9" s="1731">
        <v>1</v>
      </c>
      <c r="CI9" s="1711">
        <v>0.73</v>
      </c>
      <c r="CJ9" s="1727" t="s">
        <v>132</v>
      </c>
      <c r="CK9" s="1709" t="s">
        <v>132</v>
      </c>
      <c r="CL9" s="3315">
        <v>1</v>
      </c>
      <c r="CM9" s="2938">
        <v>0.88</v>
      </c>
      <c r="CN9" s="2939">
        <v>1</v>
      </c>
      <c r="CO9" s="2938">
        <v>0.97</v>
      </c>
      <c r="CP9" s="2940">
        <v>1</v>
      </c>
      <c r="CQ9" s="2938">
        <v>0.78</v>
      </c>
      <c r="CR9" s="2940">
        <v>1</v>
      </c>
      <c r="CS9" s="2938">
        <v>0.83</v>
      </c>
      <c r="CT9" s="2940">
        <v>1</v>
      </c>
      <c r="CU9" s="2938">
        <v>0.49</v>
      </c>
      <c r="CV9" s="2940" t="s">
        <v>132</v>
      </c>
      <c r="CW9" s="2941" t="s">
        <v>132</v>
      </c>
      <c r="CX9" s="2940">
        <v>1</v>
      </c>
      <c r="CY9" s="2941">
        <v>0.74</v>
      </c>
      <c r="CZ9" s="2867" t="s">
        <v>132</v>
      </c>
      <c r="DA9" s="3316" t="s">
        <v>132</v>
      </c>
    </row>
    <row r="10" spans="1:105" s="6" customFormat="1" ht="13.15">
      <c r="A10" s="1690" t="s">
        <v>922</v>
      </c>
      <c r="B10" s="1691" t="s">
        <v>252</v>
      </c>
      <c r="C10" s="1692" t="s">
        <v>252</v>
      </c>
      <c r="D10" s="1693" t="s">
        <v>252</v>
      </c>
      <c r="E10" s="1694" t="s">
        <v>252</v>
      </c>
      <c r="F10" s="1695" t="s">
        <v>252</v>
      </c>
      <c r="G10" s="1696" t="s">
        <v>252</v>
      </c>
      <c r="H10" s="1693" t="s">
        <v>252</v>
      </c>
      <c r="I10" s="1694" t="s">
        <v>252</v>
      </c>
      <c r="J10" s="1695" t="s">
        <v>252</v>
      </c>
      <c r="K10" s="1696" t="s">
        <v>252</v>
      </c>
      <c r="L10" s="1693" t="s">
        <v>252</v>
      </c>
      <c r="M10" s="1694" t="s">
        <v>252</v>
      </c>
      <c r="N10" s="1695" t="s">
        <v>252</v>
      </c>
      <c r="O10" s="1697" t="s">
        <v>252</v>
      </c>
      <c r="P10" s="1698">
        <v>1</v>
      </c>
      <c r="Q10" s="1699">
        <v>0</v>
      </c>
      <c r="R10" s="1700">
        <v>1</v>
      </c>
      <c r="S10" s="1701">
        <v>0</v>
      </c>
      <c r="T10" s="1702">
        <v>0</v>
      </c>
      <c r="U10" s="1703">
        <v>0</v>
      </c>
      <c r="V10" s="1700">
        <v>0</v>
      </c>
      <c r="W10" s="1701">
        <v>0</v>
      </c>
      <c r="X10" s="1702">
        <v>0</v>
      </c>
      <c r="Y10" s="1703">
        <v>0</v>
      </c>
      <c r="Z10" s="1700">
        <v>0</v>
      </c>
      <c r="AA10" s="1701">
        <v>0</v>
      </c>
      <c r="AB10" s="1702">
        <v>0</v>
      </c>
      <c r="AC10" s="1703">
        <v>0</v>
      </c>
      <c r="AD10" s="1698">
        <v>1</v>
      </c>
      <c r="AE10" s="1699">
        <v>0</v>
      </c>
      <c r="AF10" s="1700">
        <v>1</v>
      </c>
      <c r="AG10" s="1701">
        <v>0</v>
      </c>
      <c r="AH10" s="1702">
        <v>0</v>
      </c>
      <c r="AI10" s="1703">
        <v>0</v>
      </c>
      <c r="AJ10" s="1700">
        <v>0</v>
      </c>
      <c r="AK10" s="1701">
        <v>0</v>
      </c>
      <c r="AL10" s="1702">
        <v>0</v>
      </c>
      <c r="AM10" s="1703">
        <v>0</v>
      </c>
      <c r="AN10" s="1700">
        <v>0</v>
      </c>
      <c r="AO10" s="1701">
        <v>0</v>
      </c>
      <c r="AP10" s="1702">
        <v>0</v>
      </c>
      <c r="AQ10" s="1703">
        <v>0</v>
      </c>
      <c r="AR10" s="1698" t="s">
        <v>132</v>
      </c>
      <c r="AS10" s="1699" t="s">
        <v>132</v>
      </c>
      <c r="AT10" s="1700" t="s">
        <v>132</v>
      </c>
      <c r="AU10" s="1701" t="s">
        <v>132</v>
      </c>
      <c r="AV10" s="1702" t="s">
        <v>132</v>
      </c>
      <c r="AW10" s="1703" t="s">
        <v>132</v>
      </c>
      <c r="AX10" s="1700" t="s">
        <v>132</v>
      </c>
      <c r="AY10" s="1701" t="s">
        <v>132</v>
      </c>
      <c r="AZ10" s="1702" t="s">
        <v>132</v>
      </c>
      <c r="BA10" s="1703" t="s">
        <v>132</v>
      </c>
      <c r="BB10" s="1700" t="s">
        <v>132</v>
      </c>
      <c r="BC10" s="1701" t="s">
        <v>132</v>
      </c>
      <c r="BD10" s="1702" t="s">
        <v>132</v>
      </c>
      <c r="BE10" s="1703" t="s">
        <v>132</v>
      </c>
      <c r="BF10" s="1717">
        <v>1</v>
      </c>
      <c r="BG10" s="1107">
        <v>0.95</v>
      </c>
      <c r="BH10" s="1723">
        <v>1</v>
      </c>
      <c r="BI10" s="1101">
        <v>0.95</v>
      </c>
      <c r="BJ10" s="1724">
        <v>1</v>
      </c>
      <c r="BK10" s="1101">
        <v>0.9</v>
      </c>
      <c r="BL10" s="1724">
        <v>1</v>
      </c>
      <c r="BM10" s="1101">
        <v>0.91</v>
      </c>
      <c r="BN10" s="1724" t="s">
        <v>132</v>
      </c>
      <c r="BO10" s="1101" t="s">
        <v>132</v>
      </c>
      <c r="BP10" s="1724" t="s">
        <v>132</v>
      </c>
      <c r="BQ10" s="1730" t="s">
        <v>132</v>
      </c>
      <c r="BR10" s="1732" t="s">
        <v>24</v>
      </c>
      <c r="BS10" s="1107" t="s">
        <v>24</v>
      </c>
      <c r="BT10" s="1724">
        <v>1</v>
      </c>
      <c r="BU10" s="1101" t="s">
        <v>132</v>
      </c>
      <c r="BV10" s="1717">
        <v>1</v>
      </c>
      <c r="BW10" s="1107">
        <v>0.95</v>
      </c>
      <c r="BX10" s="1723">
        <v>0.87</v>
      </c>
      <c r="BY10" s="1101">
        <v>1</v>
      </c>
      <c r="BZ10" s="1724">
        <v>1</v>
      </c>
      <c r="CA10" s="1101" t="s">
        <v>132</v>
      </c>
      <c r="CB10" s="1724">
        <v>1</v>
      </c>
      <c r="CC10" s="1101" t="s">
        <v>132</v>
      </c>
      <c r="CD10" s="1724">
        <v>1</v>
      </c>
      <c r="CE10" s="1101" t="s">
        <v>132</v>
      </c>
      <c r="CF10" s="1724" t="s">
        <v>132</v>
      </c>
      <c r="CG10" s="1730" t="s">
        <v>132</v>
      </c>
      <c r="CH10" s="1732">
        <v>1</v>
      </c>
      <c r="CI10" s="1107">
        <v>0</v>
      </c>
      <c r="CJ10" s="1724" t="s">
        <v>132</v>
      </c>
      <c r="CK10" s="2868" t="s">
        <v>132</v>
      </c>
      <c r="CL10" s="1717">
        <v>1</v>
      </c>
      <c r="CM10" s="1107">
        <v>0.93</v>
      </c>
      <c r="CN10" s="1732">
        <v>0.87</v>
      </c>
      <c r="CO10" s="3317">
        <v>1</v>
      </c>
      <c r="CP10" s="2942">
        <v>1</v>
      </c>
      <c r="CQ10" s="3317" t="s">
        <v>132</v>
      </c>
      <c r="CR10" s="2942">
        <v>1</v>
      </c>
      <c r="CS10" s="3317" t="s">
        <v>132</v>
      </c>
      <c r="CT10" s="2942">
        <v>1</v>
      </c>
      <c r="CU10" s="3317" t="s">
        <v>132</v>
      </c>
      <c r="CV10" s="2942" t="s">
        <v>132</v>
      </c>
      <c r="CW10" s="2943" t="s">
        <v>132</v>
      </c>
      <c r="CX10" s="1732">
        <v>1</v>
      </c>
      <c r="CY10" s="1107">
        <v>0</v>
      </c>
      <c r="CZ10" s="2861" t="s">
        <v>132</v>
      </c>
      <c r="DA10" s="3318" t="s">
        <v>132</v>
      </c>
    </row>
    <row r="11" spans="1:105" s="6" customFormat="1" ht="13.15">
      <c r="A11" s="1683" t="s">
        <v>923</v>
      </c>
      <c r="B11" s="81" t="s">
        <v>252</v>
      </c>
      <c r="C11" s="82" t="s">
        <v>252</v>
      </c>
      <c r="D11" s="73" t="s">
        <v>252</v>
      </c>
      <c r="E11" s="74" t="s">
        <v>252</v>
      </c>
      <c r="F11" s="63" t="s">
        <v>252</v>
      </c>
      <c r="G11" s="67" t="s">
        <v>252</v>
      </c>
      <c r="H11" s="73" t="s">
        <v>252</v>
      </c>
      <c r="I11" s="74" t="s">
        <v>252</v>
      </c>
      <c r="J11" s="63" t="s">
        <v>252</v>
      </c>
      <c r="K11" s="67" t="s">
        <v>252</v>
      </c>
      <c r="L11" s="73" t="s">
        <v>252</v>
      </c>
      <c r="M11" s="74" t="s">
        <v>252</v>
      </c>
      <c r="N11" s="63" t="s">
        <v>252</v>
      </c>
      <c r="O11" s="23" t="s">
        <v>252</v>
      </c>
      <c r="P11" s="1686">
        <v>1</v>
      </c>
      <c r="Q11" s="1687">
        <v>0.43470926771184759</v>
      </c>
      <c r="R11" s="1103">
        <v>1</v>
      </c>
      <c r="S11" s="1104">
        <v>0.35671415696726816</v>
      </c>
      <c r="T11" s="1105">
        <v>0</v>
      </c>
      <c r="U11" s="1106">
        <v>1</v>
      </c>
      <c r="V11" s="1103">
        <v>1</v>
      </c>
      <c r="W11" s="1104">
        <v>0</v>
      </c>
      <c r="X11" s="1105">
        <v>1</v>
      </c>
      <c r="Y11" s="1106">
        <v>0</v>
      </c>
      <c r="Z11" s="1103">
        <v>0</v>
      </c>
      <c r="AA11" s="1104">
        <v>0</v>
      </c>
      <c r="AB11" s="1105">
        <v>0</v>
      </c>
      <c r="AC11" s="1106">
        <v>0</v>
      </c>
      <c r="AD11" s="1686">
        <v>1</v>
      </c>
      <c r="AE11" s="1687">
        <v>0.70340035610370433</v>
      </c>
      <c r="AF11" s="1103">
        <v>0.84399433279110048</v>
      </c>
      <c r="AG11" s="1104">
        <v>1</v>
      </c>
      <c r="AH11" s="1105">
        <v>0</v>
      </c>
      <c r="AI11" s="1106">
        <v>0</v>
      </c>
      <c r="AJ11" s="1103">
        <v>1</v>
      </c>
      <c r="AK11" s="1104">
        <v>0</v>
      </c>
      <c r="AL11" s="1105">
        <v>1</v>
      </c>
      <c r="AM11" s="1106">
        <v>0.22134350576851505</v>
      </c>
      <c r="AN11" s="1103">
        <v>1</v>
      </c>
      <c r="AO11" s="1104">
        <v>0</v>
      </c>
      <c r="AP11" s="1105">
        <v>0</v>
      </c>
      <c r="AQ11" s="1106">
        <v>0</v>
      </c>
      <c r="AR11" s="1686" t="s">
        <v>132</v>
      </c>
      <c r="AS11" s="1687" t="s">
        <v>132</v>
      </c>
      <c r="AT11" s="1103" t="s">
        <v>132</v>
      </c>
      <c r="AU11" s="1104" t="s">
        <v>132</v>
      </c>
      <c r="AV11" s="1105" t="s">
        <v>132</v>
      </c>
      <c r="AW11" s="1106" t="s">
        <v>132</v>
      </c>
      <c r="AX11" s="1103" t="s">
        <v>132</v>
      </c>
      <c r="AY11" s="1104" t="s">
        <v>132</v>
      </c>
      <c r="AZ11" s="1105" t="s">
        <v>132</v>
      </c>
      <c r="BA11" s="1106" t="s">
        <v>132</v>
      </c>
      <c r="BB11" s="1103" t="s">
        <v>132</v>
      </c>
      <c r="BC11" s="1104" t="s">
        <v>132</v>
      </c>
      <c r="BD11" s="1105" t="s">
        <v>132</v>
      </c>
      <c r="BE11" s="1714" t="s">
        <v>132</v>
      </c>
      <c r="BF11" s="1717">
        <v>0.99</v>
      </c>
      <c r="BG11" s="1107">
        <v>1</v>
      </c>
      <c r="BH11" s="1724">
        <v>0.97</v>
      </c>
      <c r="BI11" s="1100">
        <v>1</v>
      </c>
      <c r="BJ11" s="1723">
        <v>1</v>
      </c>
      <c r="BK11" s="1100">
        <v>0.9</v>
      </c>
      <c r="BL11" s="1723">
        <v>0.99</v>
      </c>
      <c r="BM11" s="1100">
        <v>1</v>
      </c>
      <c r="BN11" s="1723" t="s">
        <v>132</v>
      </c>
      <c r="BO11" s="1100">
        <v>1</v>
      </c>
      <c r="BP11" s="1723" t="s">
        <v>132</v>
      </c>
      <c r="BQ11" s="1100" t="s">
        <v>132</v>
      </c>
      <c r="BR11" s="1732" t="s">
        <v>24</v>
      </c>
      <c r="BS11" s="1107" t="s">
        <v>24</v>
      </c>
      <c r="BT11" s="1723" t="s">
        <v>132</v>
      </c>
      <c r="BU11" s="1105" t="s">
        <v>132</v>
      </c>
      <c r="BV11" s="1717">
        <v>1</v>
      </c>
      <c r="BW11" s="1107">
        <v>0.87</v>
      </c>
      <c r="BX11" s="1724">
        <v>1</v>
      </c>
      <c r="BY11" s="1100">
        <v>0.84</v>
      </c>
      <c r="BZ11" s="1723">
        <v>1</v>
      </c>
      <c r="CA11" s="1100" t="s">
        <v>132</v>
      </c>
      <c r="CB11" s="1723">
        <v>1</v>
      </c>
      <c r="CC11" s="1100">
        <v>0.88</v>
      </c>
      <c r="CD11" s="1723">
        <v>1</v>
      </c>
      <c r="CE11" s="1100" t="s">
        <v>132</v>
      </c>
      <c r="CF11" s="1723" t="s">
        <v>132</v>
      </c>
      <c r="CG11" s="1100" t="s">
        <v>132</v>
      </c>
      <c r="CH11" s="1732">
        <v>0.95</v>
      </c>
      <c r="CI11" s="1107">
        <v>1</v>
      </c>
      <c r="CJ11" s="1723" t="s">
        <v>132</v>
      </c>
      <c r="CK11" s="1106" t="s">
        <v>132</v>
      </c>
      <c r="CL11" s="1717">
        <v>1</v>
      </c>
      <c r="CM11" s="1107">
        <v>0.85</v>
      </c>
      <c r="CN11" s="2942">
        <v>1</v>
      </c>
      <c r="CO11" s="1107">
        <v>0.81</v>
      </c>
      <c r="CP11" s="1732">
        <v>1</v>
      </c>
      <c r="CQ11" s="1107" t="s">
        <v>132</v>
      </c>
      <c r="CR11" s="1732">
        <v>1</v>
      </c>
      <c r="CS11" s="1107">
        <v>0.84</v>
      </c>
      <c r="CT11" s="1732">
        <v>1</v>
      </c>
      <c r="CU11" s="1107" t="s">
        <v>132</v>
      </c>
      <c r="CV11" s="1732" t="s">
        <v>132</v>
      </c>
      <c r="CW11" s="1107" t="s">
        <v>132</v>
      </c>
      <c r="CX11" s="1732">
        <v>1</v>
      </c>
      <c r="CY11" s="1107">
        <v>0.93</v>
      </c>
      <c r="CZ11" s="2860" t="s">
        <v>132</v>
      </c>
      <c r="DA11" s="3319" t="s">
        <v>132</v>
      </c>
    </row>
    <row r="12" spans="1:105" s="6" customFormat="1" ht="13.15">
      <c r="A12" s="1683" t="s">
        <v>924</v>
      </c>
      <c r="B12" s="81" t="s">
        <v>252</v>
      </c>
      <c r="C12" s="82" t="s">
        <v>252</v>
      </c>
      <c r="D12" s="73" t="s">
        <v>252</v>
      </c>
      <c r="E12" s="74" t="s">
        <v>252</v>
      </c>
      <c r="F12" s="63" t="s">
        <v>252</v>
      </c>
      <c r="G12" s="67" t="s">
        <v>252</v>
      </c>
      <c r="H12" s="73" t="s">
        <v>252</v>
      </c>
      <c r="I12" s="74" t="s">
        <v>252</v>
      </c>
      <c r="J12" s="63" t="s">
        <v>252</v>
      </c>
      <c r="K12" s="67" t="s">
        <v>252</v>
      </c>
      <c r="L12" s="73" t="s">
        <v>252</v>
      </c>
      <c r="M12" s="74" t="s">
        <v>252</v>
      </c>
      <c r="N12" s="63" t="s">
        <v>252</v>
      </c>
      <c r="O12" s="23" t="s">
        <v>252</v>
      </c>
      <c r="P12" s="1686">
        <v>1</v>
      </c>
      <c r="Q12" s="1687">
        <v>0.73380356111527545</v>
      </c>
      <c r="R12" s="1103">
        <v>1</v>
      </c>
      <c r="S12" s="1104">
        <v>0.7874200095442343</v>
      </c>
      <c r="T12" s="1105">
        <v>1</v>
      </c>
      <c r="U12" s="1106">
        <v>0.98901801164071079</v>
      </c>
      <c r="V12" s="1103">
        <v>1</v>
      </c>
      <c r="W12" s="1104">
        <v>0.71168739732457165</v>
      </c>
      <c r="X12" s="1105">
        <v>1</v>
      </c>
      <c r="Y12" s="1106">
        <v>0.27940379403794036</v>
      </c>
      <c r="Z12" s="1103">
        <v>1</v>
      </c>
      <c r="AA12" s="1104">
        <v>0</v>
      </c>
      <c r="AB12" s="1105">
        <v>0</v>
      </c>
      <c r="AC12" s="1106">
        <v>0</v>
      </c>
      <c r="AD12" s="1686">
        <v>1</v>
      </c>
      <c r="AE12" s="1687">
        <v>0.76593593256734449</v>
      </c>
      <c r="AF12" s="1103">
        <v>1</v>
      </c>
      <c r="AG12" s="1104">
        <v>0.84163691861969059</v>
      </c>
      <c r="AH12" s="1105">
        <v>0.99577205882352948</v>
      </c>
      <c r="AI12" s="1106">
        <v>1</v>
      </c>
      <c r="AJ12" s="1103">
        <v>1</v>
      </c>
      <c r="AK12" s="1104">
        <v>0.57132953077238213</v>
      </c>
      <c r="AL12" s="1105">
        <v>1</v>
      </c>
      <c r="AM12" s="1106">
        <v>0.27943390545016561</v>
      </c>
      <c r="AN12" s="1103">
        <v>0</v>
      </c>
      <c r="AO12" s="1104">
        <v>0</v>
      </c>
      <c r="AP12" s="1105">
        <v>0</v>
      </c>
      <c r="AQ12" s="1106">
        <v>0</v>
      </c>
      <c r="AR12" s="1686" t="s">
        <v>132</v>
      </c>
      <c r="AS12" s="1687" t="s">
        <v>132</v>
      </c>
      <c r="AT12" s="1103" t="s">
        <v>132</v>
      </c>
      <c r="AU12" s="1104" t="s">
        <v>132</v>
      </c>
      <c r="AV12" s="1105" t="s">
        <v>132</v>
      </c>
      <c r="AW12" s="1106" t="s">
        <v>132</v>
      </c>
      <c r="AX12" s="1103" t="s">
        <v>132</v>
      </c>
      <c r="AY12" s="1104" t="s">
        <v>132</v>
      </c>
      <c r="AZ12" s="1105" t="s">
        <v>132</v>
      </c>
      <c r="BA12" s="1106" t="s">
        <v>132</v>
      </c>
      <c r="BB12" s="1103" t="s">
        <v>132</v>
      </c>
      <c r="BC12" s="1104" t="s">
        <v>132</v>
      </c>
      <c r="BD12" s="1105" t="s">
        <v>132</v>
      </c>
      <c r="BE12" s="1714" t="s">
        <v>132</v>
      </c>
      <c r="BF12" s="1717">
        <v>0.98</v>
      </c>
      <c r="BG12" s="1107">
        <v>1</v>
      </c>
      <c r="BH12" s="1723">
        <v>0.96</v>
      </c>
      <c r="BI12" s="1100">
        <v>1</v>
      </c>
      <c r="BJ12" s="1723">
        <v>0.99</v>
      </c>
      <c r="BK12" s="1100">
        <v>1</v>
      </c>
      <c r="BL12" s="1723">
        <v>1</v>
      </c>
      <c r="BM12" s="1100">
        <v>0.98</v>
      </c>
      <c r="BN12" s="1723" t="s">
        <v>132</v>
      </c>
      <c r="BO12" s="1100" t="s">
        <v>132</v>
      </c>
      <c r="BP12" s="1723" t="s">
        <v>132</v>
      </c>
      <c r="BQ12" s="1100">
        <v>1</v>
      </c>
      <c r="BR12" s="1732" t="s">
        <v>24</v>
      </c>
      <c r="BS12" s="1107" t="s">
        <v>24</v>
      </c>
      <c r="BT12" s="1723" t="s">
        <v>132</v>
      </c>
      <c r="BU12" s="1105" t="s">
        <v>132</v>
      </c>
      <c r="BV12" s="1717">
        <v>1</v>
      </c>
      <c r="BW12" s="1107">
        <v>0.95</v>
      </c>
      <c r="BX12" s="1723">
        <v>1</v>
      </c>
      <c r="BY12" s="1100">
        <v>0.96</v>
      </c>
      <c r="BZ12" s="1723">
        <v>1</v>
      </c>
      <c r="CA12" s="1100">
        <v>0.95</v>
      </c>
      <c r="CB12" s="1723">
        <v>1</v>
      </c>
      <c r="CC12" s="1100">
        <v>0.94</v>
      </c>
      <c r="CD12" s="1723">
        <v>1</v>
      </c>
      <c r="CE12" s="1100" t="s">
        <v>132</v>
      </c>
      <c r="CF12" s="1723" t="s">
        <v>132</v>
      </c>
      <c r="CG12" s="1100" t="s">
        <v>132</v>
      </c>
      <c r="CH12" s="1732">
        <v>1</v>
      </c>
      <c r="CI12" s="1107">
        <v>0.92</v>
      </c>
      <c r="CJ12" s="1723" t="s">
        <v>132</v>
      </c>
      <c r="CK12" s="1106" t="s">
        <v>132</v>
      </c>
      <c r="CL12" s="1717">
        <v>1</v>
      </c>
      <c r="CM12" s="1107">
        <v>0.94</v>
      </c>
      <c r="CN12" s="1732">
        <v>1</v>
      </c>
      <c r="CO12" s="1107">
        <v>0.94</v>
      </c>
      <c r="CP12" s="1732">
        <v>1</v>
      </c>
      <c r="CQ12" s="1107">
        <v>0.95</v>
      </c>
      <c r="CR12" s="1732">
        <v>1</v>
      </c>
      <c r="CS12" s="1107">
        <v>0.93</v>
      </c>
      <c r="CT12" s="1732">
        <v>1</v>
      </c>
      <c r="CU12" s="1107" t="s">
        <v>132</v>
      </c>
      <c r="CV12" s="1732" t="s">
        <v>132</v>
      </c>
      <c r="CW12" s="1107" t="s">
        <v>132</v>
      </c>
      <c r="CX12" s="1732">
        <v>1</v>
      </c>
      <c r="CY12" s="1107">
        <v>0.95</v>
      </c>
      <c r="CZ12" s="2860" t="s">
        <v>132</v>
      </c>
      <c r="DA12" s="3319" t="s">
        <v>132</v>
      </c>
    </row>
    <row r="13" spans="1:105" s="6" customFormat="1" ht="13.15">
      <c r="A13" s="1683" t="s">
        <v>925</v>
      </c>
      <c r="B13" s="81" t="s">
        <v>252</v>
      </c>
      <c r="C13" s="82" t="s">
        <v>252</v>
      </c>
      <c r="D13" s="73" t="s">
        <v>252</v>
      </c>
      <c r="E13" s="74" t="s">
        <v>252</v>
      </c>
      <c r="F13" s="63" t="s">
        <v>252</v>
      </c>
      <c r="G13" s="67" t="s">
        <v>252</v>
      </c>
      <c r="H13" s="73" t="s">
        <v>252</v>
      </c>
      <c r="I13" s="74" t="s">
        <v>252</v>
      </c>
      <c r="J13" s="63" t="s">
        <v>252</v>
      </c>
      <c r="K13" s="67" t="s">
        <v>252</v>
      </c>
      <c r="L13" s="73" t="s">
        <v>252</v>
      </c>
      <c r="M13" s="74" t="s">
        <v>252</v>
      </c>
      <c r="N13" s="63" t="s">
        <v>252</v>
      </c>
      <c r="O13" s="23" t="s">
        <v>252</v>
      </c>
      <c r="P13" s="1686">
        <v>1</v>
      </c>
      <c r="Q13" s="1687">
        <v>0.71093240257582002</v>
      </c>
      <c r="R13" s="1103">
        <v>1</v>
      </c>
      <c r="S13" s="1104">
        <v>0.71248792712652964</v>
      </c>
      <c r="T13" s="1105">
        <v>1</v>
      </c>
      <c r="U13" s="1106">
        <v>0.67648061922459313</v>
      </c>
      <c r="V13" s="1103">
        <v>1</v>
      </c>
      <c r="W13" s="1104">
        <v>0.67987033171988109</v>
      </c>
      <c r="X13" s="1105">
        <v>1</v>
      </c>
      <c r="Y13" s="1106">
        <v>0</v>
      </c>
      <c r="Z13" s="1103">
        <v>0</v>
      </c>
      <c r="AA13" s="1104">
        <v>0</v>
      </c>
      <c r="AB13" s="1105">
        <v>0</v>
      </c>
      <c r="AC13" s="1106">
        <v>1</v>
      </c>
      <c r="AD13" s="1686">
        <v>1</v>
      </c>
      <c r="AE13" s="1687">
        <v>0.69861168205115809</v>
      </c>
      <c r="AF13" s="1103">
        <v>1</v>
      </c>
      <c r="AG13" s="1104">
        <v>0.67432596193709093</v>
      </c>
      <c r="AH13" s="1105">
        <v>1</v>
      </c>
      <c r="AI13" s="1106">
        <v>0.45906059316021008</v>
      </c>
      <c r="AJ13" s="1103">
        <v>1</v>
      </c>
      <c r="AK13" s="1104">
        <v>0.85301887773675178</v>
      </c>
      <c r="AL13" s="1105">
        <v>1</v>
      </c>
      <c r="AM13" s="1106">
        <v>0</v>
      </c>
      <c r="AN13" s="1103">
        <v>0</v>
      </c>
      <c r="AO13" s="1104">
        <v>0</v>
      </c>
      <c r="AP13" s="1105">
        <v>0</v>
      </c>
      <c r="AQ13" s="1106">
        <v>0</v>
      </c>
      <c r="AR13" s="1686" t="s">
        <v>132</v>
      </c>
      <c r="AS13" s="1687" t="s">
        <v>132</v>
      </c>
      <c r="AT13" s="1103" t="s">
        <v>132</v>
      </c>
      <c r="AU13" s="1104" t="s">
        <v>132</v>
      </c>
      <c r="AV13" s="1105" t="s">
        <v>132</v>
      </c>
      <c r="AW13" s="1106" t="s">
        <v>132</v>
      </c>
      <c r="AX13" s="1103" t="s">
        <v>132</v>
      </c>
      <c r="AY13" s="1104" t="s">
        <v>132</v>
      </c>
      <c r="AZ13" s="1105" t="s">
        <v>132</v>
      </c>
      <c r="BA13" s="1106" t="s">
        <v>132</v>
      </c>
      <c r="BB13" s="1103" t="s">
        <v>132</v>
      </c>
      <c r="BC13" s="1104" t="s">
        <v>132</v>
      </c>
      <c r="BD13" s="1105" t="s">
        <v>132</v>
      </c>
      <c r="BE13" s="1714" t="s">
        <v>132</v>
      </c>
      <c r="BF13" s="1717">
        <v>1</v>
      </c>
      <c r="BG13" s="1107">
        <v>0.97</v>
      </c>
      <c r="BH13" s="1723">
        <v>1</v>
      </c>
      <c r="BI13" s="1100">
        <v>0.98</v>
      </c>
      <c r="BJ13" s="1723">
        <v>1</v>
      </c>
      <c r="BK13" s="1100">
        <v>0.97</v>
      </c>
      <c r="BL13" s="1723">
        <v>1</v>
      </c>
      <c r="BM13" s="1100">
        <v>0.96</v>
      </c>
      <c r="BN13" s="1723">
        <v>1</v>
      </c>
      <c r="BO13" s="1100">
        <v>0.87</v>
      </c>
      <c r="BP13" s="1723" t="s">
        <v>132</v>
      </c>
      <c r="BQ13" s="1100" t="s">
        <v>132</v>
      </c>
      <c r="BR13" s="1732" t="s">
        <v>24</v>
      </c>
      <c r="BS13" s="1107" t="s">
        <v>24</v>
      </c>
      <c r="BT13" s="1723">
        <v>1</v>
      </c>
      <c r="BU13" s="1105" t="s">
        <v>132</v>
      </c>
      <c r="BV13" s="1717">
        <v>1</v>
      </c>
      <c r="BW13" s="1107">
        <v>0.93</v>
      </c>
      <c r="BX13" s="1723">
        <v>1</v>
      </c>
      <c r="BY13" s="1100">
        <v>0.97</v>
      </c>
      <c r="BZ13" s="1723">
        <v>1</v>
      </c>
      <c r="CA13" s="1100">
        <v>0.89</v>
      </c>
      <c r="CB13" s="1723">
        <v>1</v>
      </c>
      <c r="CC13" s="1100">
        <v>0.91</v>
      </c>
      <c r="CD13" s="1723">
        <v>1</v>
      </c>
      <c r="CE13" s="1100" t="s">
        <v>132</v>
      </c>
      <c r="CF13" s="1723" t="s">
        <v>132</v>
      </c>
      <c r="CG13" s="1100" t="s">
        <v>132</v>
      </c>
      <c r="CH13" s="1732">
        <v>1</v>
      </c>
      <c r="CI13" s="1107">
        <v>0.91</v>
      </c>
      <c r="CJ13" s="1723" t="s">
        <v>132</v>
      </c>
      <c r="CK13" s="1106" t="s">
        <v>132</v>
      </c>
      <c r="CL13" s="1717">
        <v>1</v>
      </c>
      <c r="CM13" s="1107">
        <v>0.93</v>
      </c>
      <c r="CN13" s="1732">
        <v>1</v>
      </c>
      <c r="CO13" s="1107">
        <v>0.96</v>
      </c>
      <c r="CP13" s="1732">
        <v>1</v>
      </c>
      <c r="CQ13" s="1107">
        <v>0.93</v>
      </c>
      <c r="CR13" s="1732">
        <v>1</v>
      </c>
      <c r="CS13" s="1107">
        <v>0.89</v>
      </c>
      <c r="CT13" s="1732">
        <v>1</v>
      </c>
      <c r="CU13" s="1107">
        <v>1</v>
      </c>
      <c r="CV13" s="1732" t="s">
        <v>132</v>
      </c>
      <c r="CW13" s="1107" t="s">
        <v>132</v>
      </c>
      <c r="CX13" s="1732">
        <v>1</v>
      </c>
      <c r="CY13" s="1107">
        <v>0.92</v>
      </c>
      <c r="CZ13" s="2860" t="s">
        <v>132</v>
      </c>
      <c r="DA13" s="3319" t="s">
        <v>132</v>
      </c>
    </row>
    <row r="14" spans="1:105" s="6" customFormat="1" ht="13.15">
      <c r="A14" s="1683" t="s">
        <v>926</v>
      </c>
      <c r="B14" s="81" t="s">
        <v>252</v>
      </c>
      <c r="C14" s="82" t="s">
        <v>252</v>
      </c>
      <c r="D14" s="73" t="s">
        <v>252</v>
      </c>
      <c r="E14" s="74" t="s">
        <v>252</v>
      </c>
      <c r="F14" s="63" t="s">
        <v>252</v>
      </c>
      <c r="G14" s="67" t="s">
        <v>252</v>
      </c>
      <c r="H14" s="73" t="s">
        <v>252</v>
      </c>
      <c r="I14" s="74" t="s">
        <v>252</v>
      </c>
      <c r="J14" s="63" t="s">
        <v>252</v>
      </c>
      <c r="K14" s="67" t="s">
        <v>252</v>
      </c>
      <c r="L14" s="73" t="s">
        <v>252</v>
      </c>
      <c r="M14" s="74" t="s">
        <v>252</v>
      </c>
      <c r="N14" s="63" t="s">
        <v>252</v>
      </c>
      <c r="O14" s="23" t="s">
        <v>252</v>
      </c>
      <c r="P14" s="1686">
        <v>1</v>
      </c>
      <c r="Q14" s="1687">
        <v>0.86712934525847074</v>
      </c>
      <c r="R14" s="1103">
        <v>1</v>
      </c>
      <c r="S14" s="1104">
        <v>0.86359093856916991</v>
      </c>
      <c r="T14" s="1105">
        <v>1</v>
      </c>
      <c r="U14" s="1106">
        <v>0.74736309907773824</v>
      </c>
      <c r="V14" s="1103">
        <v>1</v>
      </c>
      <c r="W14" s="1104">
        <v>0.76816555682690812</v>
      </c>
      <c r="X14" s="1105">
        <v>0</v>
      </c>
      <c r="Y14" s="1106">
        <v>1</v>
      </c>
      <c r="Z14" s="1103">
        <v>0</v>
      </c>
      <c r="AA14" s="1104">
        <v>0</v>
      </c>
      <c r="AB14" s="1105">
        <v>0</v>
      </c>
      <c r="AC14" s="1106">
        <v>0</v>
      </c>
      <c r="AD14" s="1686">
        <v>1</v>
      </c>
      <c r="AE14" s="1687">
        <v>0.8997329034460716</v>
      </c>
      <c r="AF14" s="1103">
        <v>1</v>
      </c>
      <c r="AG14" s="1104">
        <v>0.9292309701211563</v>
      </c>
      <c r="AH14" s="1105">
        <v>1</v>
      </c>
      <c r="AI14" s="1106">
        <v>0.76576576576576583</v>
      </c>
      <c r="AJ14" s="1103">
        <v>1</v>
      </c>
      <c r="AK14" s="1104">
        <v>0.83245685693862992</v>
      </c>
      <c r="AL14" s="1105">
        <v>0</v>
      </c>
      <c r="AM14" s="1106">
        <v>1</v>
      </c>
      <c r="AN14" s="1103">
        <v>0</v>
      </c>
      <c r="AO14" s="1104">
        <v>0</v>
      </c>
      <c r="AP14" s="1105">
        <v>0</v>
      </c>
      <c r="AQ14" s="1106">
        <v>0</v>
      </c>
      <c r="AR14" s="1686">
        <v>1</v>
      </c>
      <c r="AS14" s="1687">
        <v>0.97</v>
      </c>
      <c r="AT14" s="1103" t="s">
        <v>132</v>
      </c>
      <c r="AU14" s="1104" t="s">
        <v>132</v>
      </c>
      <c r="AV14" s="1105" t="s">
        <v>132</v>
      </c>
      <c r="AW14" s="1106" t="s">
        <v>132</v>
      </c>
      <c r="AX14" s="1103" t="s">
        <v>132</v>
      </c>
      <c r="AY14" s="1104" t="s">
        <v>132</v>
      </c>
      <c r="AZ14" s="1105" t="s">
        <v>132</v>
      </c>
      <c r="BA14" s="1106" t="s">
        <v>132</v>
      </c>
      <c r="BB14" s="1103" t="s">
        <v>132</v>
      </c>
      <c r="BC14" s="1104" t="s">
        <v>132</v>
      </c>
      <c r="BD14" s="1105" t="s">
        <v>132</v>
      </c>
      <c r="BE14" s="1714" t="s">
        <v>132</v>
      </c>
      <c r="BF14" s="1717">
        <v>1</v>
      </c>
      <c r="BG14" s="1107">
        <v>0.98</v>
      </c>
      <c r="BH14" s="1723">
        <v>0.99</v>
      </c>
      <c r="BI14" s="1100">
        <v>1</v>
      </c>
      <c r="BJ14" s="1723">
        <v>0.9</v>
      </c>
      <c r="BK14" s="1100">
        <v>1</v>
      </c>
      <c r="BL14" s="1723">
        <v>1</v>
      </c>
      <c r="BM14" s="1100">
        <v>0.93</v>
      </c>
      <c r="BN14" s="1723">
        <v>1</v>
      </c>
      <c r="BO14" s="1100" t="s">
        <v>132</v>
      </c>
      <c r="BP14" s="1723" t="s">
        <v>132</v>
      </c>
      <c r="BQ14" s="1100" t="s">
        <v>132</v>
      </c>
      <c r="BR14" s="1732" t="s">
        <v>24</v>
      </c>
      <c r="BS14" s="1107" t="s">
        <v>24</v>
      </c>
      <c r="BT14" s="1723" t="s">
        <v>132</v>
      </c>
      <c r="BU14" s="1105" t="s">
        <v>132</v>
      </c>
      <c r="BV14" s="1717">
        <v>1</v>
      </c>
      <c r="BW14" s="1107">
        <v>0.86</v>
      </c>
      <c r="BX14" s="1723">
        <v>1</v>
      </c>
      <c r="BY14" s="1100">
        <v>0.89</v>
      </c>
      <c r="BZ14" s="1723">
        <v>1</v>
      </c>
      <c r="CA14" s="1100">
        <v>0.77</v>
      </c>
      <c r="CB14" s="1723">
        <v>1</v>
      </c>
      <c r="CC14" s="1100">
        <v>0.91</v>
      </c>
      <c r="CD14" s="1723" t="s">
        <v>132</v>
      </c>
      <c r="CE14" s="1100" t="s">
        <v>132</v>
      </c>
      <c r="CF14" s="1723" t="s">
        <v>132</v>
      </c>
      <c r="CG14" s="1100" t="s">
        <v>132</v>
      </c>
      <c r="CH14" s="1732">
        <v>1</v>
      </c>
      <c r="CI14" s="1107">
        <v>0.9</v>
      </c>
      <c r="CJ14" s="1723" t="s">
        <v>132</v>
      </c>
      <c r="CK14" s="1106" t="s">
        <v>132</v>
      </c>
      <c r="CL14" s="1717">
        <v>1</v>
      </c>
      <c r="CM14" s="1107">
        <v>0.87</v>
      </c>
      <c r="CN14" s="1732">
        <v>1</v>
      </c>
      <c r="CO14" s="1107">
        <v>0.89</v>
      </c>
      <c r="CP14" s="1732">
        <v>1</v>
      </c>
      <c r="CQ14" s="1107">
        <v>0.82</v>
      </c>
      <c r="CR14" s="1732">
        <v>1</v>
      </c>
      <c r="CS14" s="1107">
        <v>0.92</v>
      </c>
      <c r="CT14" s="1732" t="s">
        <v>132</v>
      </c>
      <c r="CU14" s="1107" t="s">
        <v>132</v>
      </c>
      <c r="CV14" s="1732" t="s">
        <v>132</v>
      </c>
      <c r="CW14" s="1107" t="s">
        <v>132</v>
      </c>
      <c r="CX14" s="1732">
        <v>1</v>
      </c>
      <c r="CY14" s="1107">
        <v>0.91</v>
      </c>
      <c r="CZ14" s="2860" t="s">
        <v>132</v>
      </c>
      <c r="DA14" s="3319" t="s">
        <v>132</v>
      </c>
    </row>
    <row r="15" spans="1:105" s="6" customFormat="1" ht="13.15">
      <c r="A15" s="1683" t="s">
        <v>927</v>
      </c>
      <c r="B15" s="81" t="s">
        <v>252</v>
      </c>
      <c r="C15" s="82" t="s">
        <v>252</v>
      </c>
      <c r="D15" s="73" t="s">
        <v>252</v>
      </c>
      <c r="E15" s="74" t="s">
        <v>252</v>
      </c>
      <c r="F15" s="63" t="s">
        <v>252</v>
      </c>
      <c r="G15" s="67" t="s">
        <v>252</v>
      </c>
      <c r="H15" s="73" t="s">
        <v>252</v>
      </c>
      <c r="I15" s="74" t="s">
        <v>252</v>
      </c>
      <c r="J15" s="63" t="s">
        <v>252</v>
      </c>
      <c r="K15" s="67" t="s">
        <v>252</v>
      </c>
      <c r="L15" s="73" t="s">
        <v>252</v>
      </c>
      <c r="M15" s="74" t="s">
        <v>252</v>
      </c>
      <c r="N15" s="63" t="s">
        <v>252</v>
      </c>
      <c r="O15" s="23" t="s">
        <v>252</v>
      </c>
      <c r="P15" s="1686">
        <v>1</v>
      </c>
      <c r="Q15" s="1687">
        <v>0.84908300178206464</v>
      </c>
      <c r="R15" s="1103">
        <v>1</v>
      </c>
      <c r="S15" s="1104">
        <v>0.86055869257381634</v>
      </c>
      <c r="T15" s="1105">
        <v>1</v>
      </c>
      <c r="U15" s="1106">
        <v>0.83878026471894307</v>
      </c>
      <c r="V15" s="1103">
        <v>1</v>
      </c>
      <c r="W15" s="1104">
        <v>0.89288282016572307</v>
      </c>
      <c r="X15" s="1105">
        <v>0</v>
      </c>
      <c r="Y15" s="1106">
        <v>0</v>
      </c>
      <c r="Z15" s="1103">
        <v>0</v>
      </c>
      <c r="AA15" s="1104">
        <v>0</v>
      </c>
      <c r="AB15" s="1105">
        <v>1</v>
      </c>
      <c r="AC15" s="1106">
        <v>0</v>
      </c>
      <c r="AD15" s="1686">
        <v>1</v>
      </c>
      <c r="AE15" s="1687">
        <v>0.8601819285100275</v>
      </c>
      <c r="AF15" s="1103">
        <v>1</v>
      </c>
      <c r="AG15" s="1104">
        <v>0.88059820702021485</v>
      </c>
      <c r="AH15" s="1105">
        <v>1</v>
      </c>
      <c r="AI15" s="1106">
        <v>0.76008717518860003</v>
      </c>
      <c r="AJ15" s="1103">
        <v>1</v>
      </c>
      <c r="AK15" s="1104">
        <v>0.9019677572309156</v>
      </c>
      <c r="AL15" s="1105">
        <v>0</v>
      </c>
      <c r="AM15" s="1106">
        <v>0</v>
      </c>
      <c r="AN15" s="1103">
        <v>0</v>
      </c>
      <c r="AO15" s="1104">
        <v>0</v>
      </c>
      <c r="AP15" s="1105">
        <v>0</v>
      </c>
      <c r="AQ15" s="1106">
        <v>0</v>
      </c>
      <c r="AR15" s="1686">
        <v>1</v>
      </c>
      <c r="AS15" s="1687">
        <v>0.94</v>
      </c>
      <c r="AT15" s="1103" t="s">
        <v>132</v>
      </c>
      <c r="AU15" s="1104" t="s">
        <v>132</v>
      </c>
      <c r="AV15" s="1105" t="s">
        <v>132</v>
      </c>
      <c r="AW15" s="1106" t="s">
        <v>132</v>
      </c>
      <c r="AX15" s="1103" t="s">
        <v>132</v>
      </c>
      <c r="AY15" s="1104" t="s">
        <v>132</v>
      </c>
      <c r="AZ15" s="1105" t="s">
        <v>132</v>
      </c>
      <c r="BA15" s="1106" t="s">
        <v>132</v>
      </c>
      <c r="BB15" s="1103" t="s">
        <v>132</v>
      </c>
      <c r="BC15" s="1104" t="s">
        <v>132</v>
      </c>
      <c r="BD15" s="1105" t="s">
        <v>132</v>
      </c>
      <c r="BE15" s="1714" t="s">
        <v>132</v>
      </c>
      <c r="BF15" s="1717">
        <v>1</v>
      </c>
      <c r="BG15" s="1107">
        <v>0.9</v>
      </c>
      <c r="BH15" s="1723">
        <v>1</v>
      </c>
      <c r="BI15" s="1100">
        <v>0.89</v>
      </c>
      <c r="BJ15" s="1723">
        <v>1</v>
      </c>
      <c r="BK15" s="1100">
        <v>0.97</v>
      </c>
      <c r="BL15" s="1723">
        <v>1</v>
      </c>
      <c r="BM15" s="1100">
        <v>0.9</v>
      </c>
      <c r="BN15" s="1723" t="s">
        <v>132</v>
      </c>
      <c r="BO15" s="1100" t="s">
        <v>132</v>
      </c>
      <c r="BP15" s="1723" t="s">
        <v>132</v>
      </c>
      <c r="BQ15" s="1100" t="s">
        <v>132</v>
      </c>
      <c r="BR15" s="1732" t="s">
        <v>24</v>
      </c>
      <c r="BS15" s="1107" t="s">
        <v>24</v>
      </c>
      <c r="BT15" s="1723" t="s">
        <v>132</v>
      </c>
      <c r="BU15" s="1105" t="s">
        <v>132</v>
      </c>
      <c r="BV15" s="1717">
        <v>1</v>
      </c>
      <c r="BW15" s="1107">
        <v>0.89</v>
      </c>
      <c r="BX15" s="1723">
        <v>1</v>
      </c>
      <c r="BY15" s="1100">
        <v>0.87</v>
      </c>
      <c r="BZ15" s="1723">
        <v>1</v>
      </c>
      <c r="CA15" s="1100">
        <v>0.92</v>
      </c>
      <c r="CB15" s="1723">
        <v>1</v>
      </c>
      <c r="CC15" s="1100">
        <v>0.86</v>
      </c>
      <c r="CD15" s="1723" t="s">
        <v>132</v>
      </c>
      <c r="CE15" s="1100">
        <v>1</v>
      </c>
      <c r="CF15" s="1723" t="s">
        <v>132</v>
      </c>
      <c r="CG15" s="1100" t="s">
        <v>132</v>
      </c>
      <c r="CH15" s="1732">
        <v>1</v>
      </c>
      <c r="CI15" s="1107">
        <v>1</v>
      </c>
      <c r="CJ15" s="1723" t="s">
        <v>132</v>
      </c>
      <c r="CK15" s="1106" t="s">
        <v>132</v>
      </c>
      <c r="CL15" s="1717">
        <v>1</v>
      </c>
      <c r="CM15" s="1107">
        <v>0.88</v>
      </c>
      <c r="CN15" s="1732">
        <v>1</v>
      </c>
      <c r="CO15" s="1107">
        <v>0.86</v>
      </c>
      <c r="CP15" s="1732">
        <v>1</v>
      </c>
      <c r="CQ15" s="1107">
        <v>0.94</v>
      </c>
      <c r="CR15" s="1732">
        <v>1</v>
      </c>
      <c r="CS15" s="1107">
        <v>0.86</v>
      </c>
      <c r="CT15" s="1732" t="s">
        <v>132</v>
      </c>
      <c r="CU15" s="1107">
        <v>1</v>
      </c>
      <c r="CV15" s="1732" t="s">
        <v>132</v>
      </c>
      <c r="CW15" s="1107" t="s">
        <v>132</v>
      </c>
      <c r="CX15" s="1732">
        <v>1</v>
      </c>
      <c r="CY15" s="1107">
        <v>0.98</v>
      </c>
      <c r="CZ15" s="2860" t="s">
        <v>132</v>
      </c>
      <c r="DA15" s="3319" t="s">
        <v>132</v>
      </c>
    </row>
    <row r="16" spans="1:105" s="6" customFormat="1" ht="13.15">
      <c r="A16" s="1683" t="s">
        <v>928</v>
      </c>
      <c r="B16" s="81" t="s">
        <v>252</v>
      </c>
      <c r="C16" s="82" t="s">
        <v>252</v>
      </c>
      <c r="D16" s="73" t="s">
        <v>252</v>
      </c>
      <c r="E16" s="74" t="s">
        <v>252</v>
      </c>
      <c r="F16" s="63" t="s">
        <v>252</v>
      </c>
      <c r="G16" s="67" t="s">
        <v>252</v>
      </c>
      <c r="H16" s="73" t="s">
        <v>252</v>
      </c>
      <c r="I16" s="74" t="s">
        <v>252</v>
      </c>
      <c r="J16" s="63" t="s">
        <v>252</v>
      </c>
      <c r="K16" s="67" t="s">
        <v>252</v>
      </c>
      <c r="L16" s="73" t="s">
        <v>252</v>
      </c>
      <c r="M16" s="74" t="s">
        <v>252</v>
      </c>
      <c r="N16" s="63" t="s">
        <v>252</v>
      </c>
      <c r="O16" s="23" t="s">
        <v>252</v>
      </c>
      <c r="P16" s="1686">
        <v>1</v>
      </c>
      <c r="Q16" s="1687">
        <v>0.90033279055348836</v>
      </c>
      <c r="R16" s="1103">
        <v>1</v>
      </c>
      <c r="S16" s="1104">
        <v>0.84022495231991434</v>
      </c>
      <c r="T16" s="1105">
        <v>1</v>
      </c>
      <c r="U16" s="1106">
        <v>0.87979808291078743</v>
      </c>
      <c r="V16" s="1103">
        <v>1</v>
      </c>
      <c r="W16" s="1104">
        <v>0.92862782050304837</v>
      </c>
      <c r="X16" s="1105">
        <v>0</v>
      </c>
      <c r="Y16" s="1106">
        <v>0</v>
      </c>
      <c r="Z16" s="1103">
        <v>0</v>
      </c>
      <c r="AA16" s="1104">
        <v>0</v>
      </c>
      <c r="AB16" s="1105">
        <v>0</v>
      </c>
      <c r="AC16" s="1106">
        <v>0</v>
      </c>
      <c r="AD16" s="1686">
        <v>1</v>
      </c>
      <c r="AE16" s="1687">
        <v>0.89587301668077346</v>
      </c>
      <c r="AF16" s="1103">
        <v>1</v>
      </c>
      <c r="AG16" s="1104">
        <v>0.84777384787815624</v>
      </c>
      <c r="AH16" s="1105">
        <v>1</v>
      </c>
      <c r="AI16" s="1106">
        <v>0.96558547562389097</v>
      </c>
      <c r="AJ16" s="1103">
        <v>1</v>
      </c>
      <c r="AK16" s="1104">
        <v>0.89766962668543993</v>
      </c>
      <c r="AL16" s="1105">
        <v>0</v>
      </c>
      <c r="AM16" s="1106">
        <v>0</v>
      </c>
      <c r="AN16" s="1103">
        <v>0</v>
      </c>
      <c r="AO16" s="1104">
        <v>0</v>
      </c>
      <c r="AP16" s="1105">
        <v>0</v>
      </c>
      <c r="AQ16" s="1106">
        <v>0</v>
      </c>
      <c r="AR16" s="1686">
        <v>1</v>
      </c>
      <c r="AS16" s="1687">
        <v>0.97</v>
      </c>
      <c r="AT16" s="1103" t="s">
        <v>132</v>
      </c>
      <c r="AU16" s="1104" t="s">
        <v>132</v>
      </c>
      <c r="AV16" s="1105" t="s">
        <v>132</v>
      </c>
      <c r="AW16" s="1106" t="s">
        <v>132</v>
      </c>
      <c r="AX16" s="1103" t="s">
        <v>132</v>
      </c>
      <c r="AY16" s="1104" t="s">
        <v>132</v>
      </c>
      <c r="AZ16" s="1105" t="s">
        <v>132</v>
      </c>
      <c r="BA16" s="1106" t="s">
        <v>132</v>
      </c>
      <c r="BB16" s="1103" t="s">
        <v>132</v>
      </c>
      <c r="BC16" s="1104" t="s">
        <v>132</v>
      </c>
      <c r="BD16" s="1105" t="s">
        <v>132</v>
      </c>
      <c r="BE16" s="1714" t="s">
        <v>132</v>
      </c>
      <c r="BF16" s="1717">
        <v>1</v>
      </c>
      <c r="BG16" s="1107">
        <v>0.97</v>
      </c>
      <c r="BH16" s="1723">
        <v>0.98</v>
      </c>
      <c r="BI16" s="1100">
        <v>1</v>
      </c>
      <c r="BJ16" s="1723">
        <v>1</v>
      </c>
      <c r="BK16" s="1100" t="s">
        <v>132</v>
      </c>
      <c r="BL16" s="1723">
        <v>1</v>
      </c>
      <c r="BM16" s="1100">
        <v>0.93</v>
      </c>
      <c r="BN16" s="1723">
        <v>1</v>
      </c>
      <c r="BO16" s="1100" t="s">
        <v>132</v>
      </c>
      <c r="BP16" s="1723" t="s">
        <v>132</v>
      </c>
      <c r="BQ16" s="1100" t="s">
        <v>132</v>
      </c>
      <c r="BR16" s="1732" t="s">
        <v>24</v>
      </c>
      <c r="BS16" s="1107" t="s">
        <v>24</v>
      </c>
      <c r="BT16" s="1723" t="s">
        <v>132</v>
      </c>
      <c r="BU16" s="1105" t="s">
        <v>132</v>
      </c>
      <c r="BV16" s="1717">
        <v>1</v>
      </c>
      <c r="BW16" s="1107">
        <v>0.94</v>
      </c>
      <c r="BX16" s="1723">
        <v>1</v>
      </c>
      <c r="BY16" s="1100">
        <v>0.96</v>
      </c>
      <c r="BZ16" s="1723">
        <v>1</v>
      </c>
      <c r="CA16" s="1100">
        <v>0.95</v>
      </c>
      <c r="CB16" s="1723">
        <v>1</v>
      </c>
      <c r="CC16" s="1100">
        <v>0.92</v>
      </c>
      <c r="CD16" s="1723" t="s">
        <v>132</v>
      </c>
      <c r="CE16" s="1100" t="s">
        <v>132</v>
      </c>
      <c r="CF16" s="1723" t="s">
        <v>132</v>
      </c>
      <c r="CG16" s="1100" t="s">
        <v>132</v>
      </c>
      <c r="CH16" s="1732">
        <v>1</v>
      </c>
      <c r="CI16" s="1107">
        <v>0.89</v>
      </c>
      <c r="CJ16" s="1723" t="s">
        <v>132</v>
      </c>
      <c r="CK16" s="1106" t="s">
        <v>132</v>
      </c>
      <c r="CL16" s="1717">
        <v>1</v>
      </c>
      <c r="CM16" s="1107">
        <v>0.92</v>
      </c>
      <c r="CN16" s="1732">
        <v>1</v>
      </c>
      <c r="CO16" s="1107">
        <v>0.94</v>
      </c>
      <c r="CP16" s="1732">
        <v>1</v>
      </c>
      <c r="CQ16" s="1107">
        <v>0.91</v>
      </c>
      <c r="CR16" s="1732">
        <v>1</v>
      </c>
      <c r="CS16" s="1107">
        <v>0.91</v>
      </c>
      <c r="CT16" s="1732" t="s">
        <v>132</v>
      </c>
      <c r="CU16" s="1107" t="s">
        <v>132</v>
      </c>
      <c r="CV16" s="1732" t="s">
        <v>132</v>
      </c>
      <c r="CW16" s="1107" t="s">
        <v>132</v>
      </c>
      <c r="CX16" s="1732">
        <v>1</v>
      </c>
      <c r="CY16" s="1107">
        <v>0.87</v>
      </c>
      <c r="CZ16" s="2860" t="s">
        <v>132</v>
      </c>
      <c r="DA16" s="3319" t="s">
        <v>132</v>
      </c>
    </row>
    <row r="17" spans="1:105" s="6" customFormat="1" ht="13.15">
      <c r="A17" s="1684" t="s">
        <v>929</v>
      </c>
      <c r="B17" s="81" t="s">
        <v>252</v>
      </c>
      <c r="C17" s="82" t="s">
        <v>252</v>
      </c>
      <c r="D17" s="73" t="s">
        <v>252</v>
      </c>
      <c r="E17" s="74" t="s">
        <v>252</v>
      </c>
      <c r="F17" s="63" t="s">
        <v>252</v>
      </c>
      <c r="G17" s="67" t="s">
        <v>252</v>
      </c>
      <c r="H17" s="73" t="s">
        <v>252</v>
      </c>
      <c r="I17" s="74" t="s">
        <v>252</v>
      </c>
      <c r="J17" s="63" t="s">
        <v>252</v>
      </c>
      <c r="K17" s="67" t="s">
        <v>252</v>
      </c>
      <c r="L17" s="73" t="s">
        <v>252</v>
      </c>
      <c r="M17" s="74" t="s">
        <v>252</v>
      </c>
      <c r="N17" s="63" t="s">
        <v>252</v>
      </c>
      <c r="O17" s="23" t="s">
        <v>252</v>
      </c>
      <c r="P17" s="1686">
        <v>0.96029359689788851</v>
      </c>
      <c r="Q17" s="1687">
        <v>1</v>
      </c>
      <c r="R17" s="1103">
        <v>1</v>
      </c>
      <c r="S17" s="1104">
        <v>0.90276718746732598</v>
      </c>
      <c r="T17" s="1105">
        <v>1</v>
      </c>
      <c r="U17" s="1106">
        <v>0.90861344537815136</v>
      </c>
      <c r="V17" s="1103">
        <v>1</v>
      </c>
      <c r="W17" s="1104">
        <v>0.93833598116947226</v>
      </c>
      <c r="X17" s="1105">
        <v>0</v>
      </c>
      <c r="Y17" s="1106">
        <v>0</v>
      </c>
      <c r="Z17" s="1103">
        <v>0</v>
      </c>
      <c r="AA17" s="1104">
        <v>0</v>
      </c>
      <c r="AB17" s="1105">
        <v>0</v>
      </c>
      <c r="AC17" s="1106">
        <v>0</v>
      </c>
      <c r="AD17" s="1686">
        <v>1</v>
      </c>
      <c r="AE17" s="1687">
        <v>0.97283220140708415</v>
      </c>
      <c r="AF17" s="1103">
        <v>1</v>
      </c>
      <c r="AG17" s="1104">
        <v>0.94247875951961202</v>
      </c>
      <c r="AH17" s="1105">
        <v>1</v>
      </c>
      <c r="AI17" s="1106">
        <v>0.88477967578357863</v>
      </c>
      <c r="AJ17" s="1103">
        <v>1</v>
      </c>
      <c r="AK17" s="1104">
        <v>0.89192778229739655</v>
      </c>
      <c r="AL17" s="1105">
        <v>0</v>
      </c>
      <c r="AM17" s="1106">
        <v>0</v>
      </c>
      <c r="AN17" s="1103">
        <v>0</v>
      </c>
      <c r="AO17" s="1104">
        <v>0</v>
      </c>
      <c r="AP17" s="1105">
        <v>0</v>
      </c>
      <c r="AQ17" s="1106">
        <v>0</v>
      </c>
      <c r="AR17" s="1686" t="s">
        <v>132</v>
      </c>
      <c r="AS17" s="1687" t="s">
        <v>132</v>
      </c>
      <c r="AT17" s="1103" t="s">
        <v>132</v>
      </c>
      <c r="AU17" s="1104" t="s">
        <v>132</v>
      </c>
      <c r="AV17" s="1105" t="s">
        <v>132</v>
      </c>
      <c r="AW17" s="1106" t="s">
        <v>132</v>
      </c>
      <c r="AX17" s="1103" t="s">
        <v>132</v>
      </c>
      <c r="AY17" s="1104" t="s">
        <v>132</v>
      </c>
      <c r="AZ17" s="1105" t="s">
        <v>132</v>
      </c>
      <c r="BA17" s="1106" t="s">
        <v>132</v>
      </c>
      <c r="BB17" s="1103" t="s">
        <v>132</v>
      </c>
      <c r="BC17" s="1104" t="s">
        <v>132</v>
      </c>
      <c r="BD17" s="1105" t="s">
        <v>132</v>
      </c>
      <c r="BE17" s="1714" t="s">
        <v>132</v>
      </c>
      <c r="BF17" s="1718" t="s">
        <v>132</v>
      </c>
      <c r="BG17" s="1102" t="s">
        <v>132</v>
      </c>
      <c r="BH17" s="1725" t="s">
        <v>132</v>
      </c>
      <c r="BI17" s="1108" t="s">
        <v>132</v>
      </c>
      <c r="BJ17" s="1725" t="s">
        <v>132</v>
      </c>
      <c r="BK17" s="1108" t="s">
        <v>132</v>
      </c>
      <c r="BL17" s="1725" t="s">
        <v>132</v>
      </c>
      <c r="BM17" s="1108" t="s">
        <v>132</v>
      </c>
      <c r="BN17" s="1725" t="s">
        <v>132</v>
      </c>
      <c r="BO17" s="1108" t="s">
        <v>132</v>
      </c>
      <c r="BP17" s="1725" t="s">
        <v>132</v>
      </c>
      <c r="BQ17" s="1108" t="s">
        <v>132</v>
      </c>
      <c r="BR17" s="1732" t="s">
        <v>24</v>
      </c>
      <c r="BS17" s="1107" t="s">
        <v>24</v>
      </c>
      <c r="BT17" s="1725" t="s">
        <v>132</v>
      </c>
      <c r="BU17" s="1105" t="s">
        <v>132</v>
      </c>
      <c r="BV17" s="1718" t="s">
        <v>132</v>
      </c>
      <c r="BW17" s="1102" t="s">
        <v>132</v>
      </c>
      <c r="BX17" s="1725" t="s">
        <v>132</v>
      </c>
      <c r="BY17" s="1108" t="s">
        <v>132</v>
      </c>
      <c r="BZ17" s="1725" t="s">
        <v>132</v>
      </c>
      <c r="CA17" s="1108" t="s">
        <v>132</v>
      </c>
      <c r="CB17" s="1725" t="s">
        <v>132</v>
      </c>
      <c r="CC17" s="1108" t="s">
        <v>132</v>
      </c>
      <c r="CD17" s="1725" t="s">
        <v>132</v>
      </c>
      <c r="CE17" s="1108" t="s">
        <v>132</v>
      </c>
      <c r="CF17" s="1725" t="s">
        <v>132</v>
      </c>
      <c r="CG17" s="1108" t="s">
        <v>132</v>
      </c>
      <c r="CH17" s="1732" t="s">
        <v>132</v>
      </c>
      <c r="CI17" s="1107" t="s">
        <v>132</v>
      </c>
      <c r="CJ17" s="1725" t="s">
        <v>132</v>
      </c>
      <c r="CK17" s="1106" t="s">
        <v>132</v>
      </c>
      <c r="CL17" s="1717" t="s">
        <v>132</v>
      </c>
      <c r="CM17" s="1107" t="s">
        <v>132</v>
      </c>
      <c r="CN17" s="1732" t="s">
        <v>132</v>
      </c>
      <c r="CO17" s="1107" t="s">
        <v>132</v>
      </c>
      <c r="CP17" s="1732" t="s">
        <v>132</v>
      </c>
      <c r="CQ17" s="1107" t="s">
        <v>132</v>
      </c>
      <c r="CR17" s="1732" t="s">
        <v>132</v>
      </c>
      <c r="CS17" s="1107" t="s">
        <v>132</v>
      </c>
      <c r="CT17" s="1732" t="s">
        <v>132</v>
      </c>
      <c r="CU17" s="1107" t="s">
        <v>132</v>
      </c>
      <c r="CV17" s="1732" t="s">
        <v>132</v>
      </c>
      <c r="CW17" s="1107" t="s">
        <v>132</v>
      </c>
      <c r="CX17" s="1732" t="s">
        <v>132</v>
      </c>
      <c r="CY17" s="1107" t="s">
        <v>132</v>
      </c>
      <c r="CZ17" s="2860" t="s">
        <v>132</v>
      </c>
      <c r="DA17" s="3319" t="s">
        <v>132</v>
      </c>
    </row>
    <row r="18" spans="1:105" s="6" customFormat="1" ht="13.15">
      <c r="A18" s="1685" t="s">
        <v>930</v>
      </c>
      <c r="B18" s="83" t="s">
        <v>252</v>
      </c>
      <c r="C18" s="84" t="s">
        <v>252</v>
      </c>
      <c r="D18" s="75" t="s">
        <v>252</v>
      </c>
      <c r="E18" s="76" t="s">
        <v>252</v>
      </c>
      <c r="F18" s="64" t="s">
        <v>252</v>
      </c>
      <c r="G18" s="68" t="s">
        <v>252</v>
      </c>
      <c r="H18" s="75" t="s">
        <v>252</v>
      </c>
      <c r="I18" s="76" t="s">
        <v>252</v>
      </c>
      <c r="J18" s="64" t="s">
        <v>252</v>
      </c>
      <c r="K18" s="68" t="s">
        <v>252</v>
      </c>
      <c r="L18" s="75" t="s">
        <v>252</v>
      </c>
      <c r="M18" s="76" t="s">
        <v>252</v>
      </c>
      <c r="N18" s="64" t="s">
        <v>252</v>
      </c>
      <c r="O18" s="24" t="s">
        <v>252</v>
      </c>
      <c r="P18" s="1688">
        <v>1</v>
      </c>
      <c r="Q18" s="1689">
        <v>0.99056295960359009</v>
      </c>
      <c r="R18" s="1109">
        <v>1</v>
      </c>
      <c r="S18" s="1110">
        <v>0.99377161610225639</v>
      </c>
      <c r="T18" s="1111">
        <v>0</v>
      </c>
      <c r="U18" s="1112">
        <v>0</v>
      </c>
      <c r="V18" s="1109">
        <v>1</v>
      </c>
      <c r="W18" s="1110">
        <v>0.99699336754003376</v>
      </c>
      <c r="X18" s="1111">
        <v>0</v>
      </c>
      <c r="Y18" s="1112">
        <v>0</v>
      </c>
      <c r="Z18" s="1109">
        <v>0</v>
      </c>
      <c r="AA18" s="1110">
        <v>0</v>
      </c>
      <c r="AB18" s="1111">
        <v>0</v>
      </c>
      <c r="AC18" s="1112">
        <v>0</v>
      </c>
      <c r="AD18" s="1688">
        <v>1</v>
      </c>
      <c r="AE18" s="1689">
        <v>0.92066634139541403</v>
      </c>
      <c r="AF18" s="1109">
        <v>1</v>
      </c>
      <c r="AG18" s="1110">
        <v>0.88817638995376536</v>
      </c>
      <c r="AH18" s="1111">
        <v>0</v>
      </c>
      <c r="AI18" s="1112">
        <v>0</v>
      </c>
      <c r="AJ18" s="1109">
        <v>0</v>
      </c>
      <c r="AK18" s="1110">
        <v>1</v>
      </c>
      <c r="AL18" s="1111">
        <v>0</v>
      </c>
      <c r="AM18" s="1112">
        <v>0</v>
      </c>
      <c r="AN18" s="1109">
        <v>0</v>
      </c>
      <c r="AO18" s="1110">
        <v>0</v>
      </c>
      <c r="AP18" s="1111">
        <v>0</v>
      </c>
      <c r="AQ18" s="1112">
        <v>0</v>
      </c>
      <c r="AR18" s="1688" t="s">
        <v>132</v>
      </c>
      <c r="AS18" s="1689" t="s">
        <v>132</v>
      </c>
      <c r="AT18" s="1109" t="s">
        <v>132</v>
      </c>
      <c r="AU18" s="1110" t="s">
        <v>132</v>
      </c>
      <c r="AV18" s="1111" t="s">
        <v>132</v>
      </c>
      <c r="AW18" s="1112" t="s">
        <v>132</v>
      </c>
      <c r="AX18" s="1109" t="s">
        <v>132</v>
      </c>
      <c r="AY18" s="1110" t="s">
        <v>132</v>
      </c>
      <c r="AZ18" s="1111" t="s">
        <v>132</v>
      </c>
      <c r="BA18" s="1112" t="s">
        <v>132</v>
      </c>
      <c r="BB18" s="1109" t="s">
        <v>132</v>
      </c>
      <c r="BC18" s="1110" t="s">
        <v>132</v>
      </c>
      <c r="BD18" s="1111" t="s">
        <v>132</v>
      </c>
      <c r="BE18" s="1112" t="s">
        <v>132</v>
      </c>
      <c r="BF18" s="1719" t="s">
        <v>132</v>
      </c>
      <c r="BG18" s="1713" t="s">
        <v>132</v>
      </c>
      <c r="BH18" s="1726" t="s">
        <v>132</v>
      </c>
      <c r="BI18" s="1721" t="s">
        <v>132</v>
      </c>
      <c r="BJ18" s="1726" t="s">
        <v>132</v>
      </c>
      <c r="BK18" s="1721" t="s">
        <v>132</v>
      </c>
      <c r="BL18" s="1726" t="s">
        <v>132</v>
      </c>
      <c r="BM18" s="1721" t="s">
        <v>132</v>
      </c>
      <c r="BN18" s="1726" t="s">
        <v>132</v>
      </c>
      <c r="BO18" s="1721" t="s">
        <v>132</v>
      </c>
      <c r="BP18" s="1726" t="s">
        <v>132</v>
      </c>
      <c r="BQ18" s="1721" t="s">
        <v>132</v>
      </c>
      <c r="BR18" s="1733" t="s">
        <v>24</v>
      </c>
      <c r="BS18" s="1338" t="s">
        <v>24</v>
      </c>
      <c r="BT18" s="1726" t="s">
        <v>132</v>
      </c>
      <c r="BU18" s="1113" t="s">
        <v>132</v>
      </c>
      <c r="BV18" s="1719" t="s">
        <v>132</v>
      </c>
      <c r="BW18" s="1713" t="s">
        <v>132</v>
      </c>
      <c r="BX18" s="1726" t="s">
        <v>132</v>
      </c>
      <c r="BY18" s="1721" t="s">
        <v>132</v>
      </c>
      <c r="BZ18" s="1726" t="s">
        <v>132</v>
      </c>
      <c r="CA18" s="1721" t="s">
        <v>132</v>
      </c>
      <c r="CB18" s="1726" t="s">
        <v>132</v>
      </c>
      <c r="CC18" s="1721" t="s">
        <v>132</v>
      </c>
      <c r="CD18" s="1726" t="s">
        <v>132</v>
      </c>
      <c r="CE18" s="1721" t="s">
        <v>132</v>
      </c>
      <c r="CF18" s="1726" t="s">
        <v>132</v>
      </c>
      <c r="CG18" s="1721" t="s">
        <v>132</v>
      </c>
      <c r="CH18" s="1733" t="s">
        <v>132</v>
      </c>
      <c r="CI18" s="1338" t="s">
        <v>132</v>
      </c>
      <c r="CJ18" s="1726" t="s">
        <v>132</v>
      </c>
      <c r="CK18" s="2869" t="s">
        <v>132</v>
      </c>
      <c r="CL18" s="3320" t="s">
        <v>132</v>
      </c>
      <c r="CM18" s="1338" t="s">
        <v>132</v>
      </c>
      <c r="CN18" s="1733" t="s">
        <v>132</v>
      </c>
      <c r="CO18" s="1338" t="s">
        <v>132</v>
      </c>
      <c r="CP18" s="1733" t="s">
        <v>132</v>
      </c>
      <c r="CQ18" s="1338" t="s">
        <v>132</v>
      </c>
      <c r="CR18" s="1733" t="s">
        <v>132</v>
      </c>
      <c r="CS18" s="1338" t="s">
        <v>132</v>
      </c>
      <c r="CT18" s="1733" t="s">
        <v>132</v>
      </c>
      <c r="CU18" s="1338" t="s">
        <v>132</v>
      </c>
      <c r="CV18" s="1733" t="s">
        <v>132</v>
      </c>
      <c r="CW18" s="1338" t="s">
        <v>132</v>
      </c>
      <c r="CX18" s="1733" t="s">
        <v>132</v>
      </c>
      <c r="CY18" s="1338" t="s">
        <v>132</v>
      </c>
      <c r="CZ18" s="3321" t="s">
        <v>132</v>
      </c>
      <c r="DA18" s="3322" t="s">
        <v>132</v>
      </c>
    </row>
    <row r="19" spans="1:105">
      <c r="A19" s="7"/>
      <c r="B19" s="3"/>
      <c r="C19" s="3"/>
      <c r="D19" s="3"/>
      <c r="E19" s="3"/>
      <c r="F19" s="3"/>
      <c r="G19" s="3"/>
      <c r="H19" s="3"/>
      <c r="I19" s="3"/>
      <c r="J19" s="3"/>
      <c r="K19" s="3"/>
      <c r="L19" s="3"/>
      <c r="M19" s="3"/>
      <c r="AG19" s="509"/>
    </row>
    <row r="21" spans="1:105">
      <c r="BF21" s="21"/>
      <c r="BG21" s="21"/>
      <c r="BV21" s="21"/>
      <c r="BW21" s="21"/>
    </row>
    <row r="22" spans="1:105">
      <c r="BF22" s="21"/>
      <c r="BG22" s="21"/>
      <c r="BV22" s="21"/>
      <c r="BW22" s="21"/>
    </row>
  </sheetData>
  <mergeCells count="61">
    <mergeCell ref="CL6:DA6"/>
    <mergeCell ref="CL7:CM7"/>
    <mergeCell ref="CN7:CO7"/>
    <mergeCell ref="CP7:CQ7"/>
    <mergeCell ref="CR7:CS7"/>
    <mergeCell ref="CT7:CU7"/>
    <mergeCell ref="CV7:CW7"/>
    <mergeCell ref="CX7:CY7"/>
    <mergeCell ref="CZ7:DA7"/>
    <mergeCell ref="BF6:BU6"/>
    <mergeCell ref="BF7:BG7"/>
    <mergeCell ref="BH7:BI7"/>
    <mergeCell ref="BJ7:BK7"/>
    <mergeCell ref="BL7:BM7"/>
    <mergeCell ref="BN7:BO7"/>
    <mergeCell ref="BP7:BQ7"/>
    <mergeCell ref="BT7:BU7"/>
    <mergeCell ref="BR7:BS7"/>
    <mergeCell ref="AR6:BE6"/>
    <mergeCell ref="AR7:AS7"/>
    <mergeCell ref="AT7:AU7"/>
    <mergeCell ref="AV7:AW7"/>
    <mergeCell ref="AX7:AY7"/>
    <mergeCell ref="AZ7:BA7"/>
    <mergeCell ref="BB7:BC7"/>
    <mergeCell ref="BD7:BE7"/>
    <mergeCell ref="N7:O7"/>
    <mergeCell ref="P3:AB3"/>
    <mergeCell ref="P4:AB4"/>
    <mergeCell ref="B7:C7"/>
    <mergeCell ref="D7:E7"/>
    <mergeCell ref="F7:G7"/>
    <mergeCell ref="H7:I7"/>
    <mergeCell ref="J7:K7"/>
    <mergeCell ref="L7:M7"/>
    <mergeCell ref="B6:O6"/>
    <mergeCell ref="AJ7:AK7"/>
    <mergeCell ref="AL7:AM7"/>
    <mergeCell ref="AN7:AO7"/>
    <mergeCell ref="AP7:AQ7"/>
    <mergeCell ref="P6:AC6"/>
    <mergeCell ref="AD6:AQ6"/>
    <mergeCell ref="Z7:AA7"/>
    <mergeCell ref="AB7:AC7"/>
    <mergeCell ref="AD7:AE7"/>
    <mergeCell ref="AF7:AG7"/>
    <mergeCell ref="AH7:AI7"/>
    <mergeCell ref="P7:Q7"/>
    <mergeCell ref="R7:S7"/>
    <mergeCell ref="T7:U7"/>
    <mergeCell ref="V7:W7"/>
    <mergeCell ref="X7:Y7"/>
    <mergeCell ref="BV6:CK6"/>
    <mergeCell ref="BV7:BW7"/>
    <mergeCell ref="BX7:BY7"/>
    <mergeCell ref="BZ7:CA7"/>
    <mergeCell ref="CB7:CC7"/>
    <mergeCell ref="CD7:CE7"/>
    <mergeCell ref="CF7:CG7"/>
    <mergeCell ref="CJ7:CK7"/>
    <mergeCell ref="CH7:CI7"/>
  </mergeCells>
  <pageMargins left="0.25" right="0.25" top="0.75" bottom="0.75" header="0.3" footer="0.3"/>
  <pageSetup paperSize="8" orientation="landscape" r:id="rId1"/>
  <headerFooter>
    <oddFooter>&amp;C_x000D_&amp;1#&amp;"Calibri"&amp;10&amp;K000000 C2 - Internal</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D824E-EBD3-4F5F-B66F-387DFE0264D1}">
  <sheetPr>
    <tabColor theme="0"/>
  </sheetPr>
  <dimension ref="A1:E10"/>
  <sheetViews>
    <sheetView workbookViewId="0">
      <selection sqref="A1:E1"/>
    </sheetView>
  </sheetViews>
  <sheetFormatPr defaultRowHeight="14.45"/>
  <cols>
    <col min="1" max="1" width="6.5703125" customWidth="1"/>
    <col min="2" max="2" width="38.42578125" customWidth="1"/>
    <col min="3" max="3" width="51.7109375" customWidth="1"/>
  </cols>
  <sheetData>
    <row r="1" spans="1:5" ht="17.45">
      <c r="A1" s="3722" t="s">
        <v>931</v>
      </c>
      <c r="B1" s="3722"/>
      <c r="C1" s="3722"/>
      <c r="D1" s="3722"/>
      <c r="E1" s="3722"/>
    </row>
    <row r="2" spans="1:5">
      <c r="A2" s="8"/>
      <c r="B2" s="8"/>
      <c r="C2" s="8"/>
      <c r="D2" s="8"/>
      <c r="E2" s="8"/>
    </row>
    <row r="3" spans="1:5" ht="15" thickBot="1">
      <c r="A3" s="8"/>
      <c r="B3" s="8"/>
      <c r="C3" s="8"/>
      <c r="D3" s="8"/>
      <c r="E3" s="8"/>
    </row>
    <row r="4" spans="1:5" ht="15" thickBot="1">
      <c r="A4" s="8"/>
      <c r="B4" s="3220"/>
      <c r="C4" s="3221" t="s">
        <v>164</v>
      </c>
      <c r="D4" s="8"/>
      <c r="E4" s="8"/>
    </row>
    <row r="5" spans="1:5" ht="94.5" customHeight="1">
      <c r="A5" s="8"/>
      <c r="B5" s="3222" t="s">
        <v>932</v>
      </c>
      <c r="C5" s="3223" t="s">
        <v>933</v>
      </c>
      <c r="D5" s="8"/>
      <c r="E5" s="8"/>
    </row>
    <row r="6" spans="1:5" ht="43.5" customHeight="1">
      <c r="A6" s="8"/>
      <c r="B6" s="3224" t="s">
        <v>934</v>
      </c>
      <c r="C6" s="3225" t="s">
        <v>24</v>
      </c>
      <c r="D6" s="8"/>
      <c r="E6" s="8"/>
    </row>
    <row r="7" spans="1:5" ht="30" customHeight="1">
      <c r="A7" s="8"/>
      <c r="B7" s="3226" t="s">
        <v>935</v>
      </c>
      <c r="C7" s="3227" t="s">
        <v>24</v>
      </c>
      <c r="D7" s="8"/>
      <c r="E7" s="8"/>
    </row>
    <row r="8" spans="1:5" ht="33" customHeight="1">
      <c r="A8" s="8"/>
      <c r="B8" s="3226" t="s">
        <v>936</v>
      </c>
      <c r="C8" s="3228" t="s">
        <v>24</v>
      </c>
      <c r="D8" s="8"/>
      <c r="E8" s="8"/>
    </row>
    <row r="9" spans="1:5" ht="64.5" customHeight="1">
      <c r="A9" s="8"/>
      <c r="B9" s="3229" t="s">
        <v>937</v>
      </c>
      <c r="C9" s="3225" t="s">
        <v>24</v>
      </c>
      <c r="D9" s="8"/>
      <c r="E9" s="8"/>
    </row>
    <row r="10" spans="1:5" ht="32.65" customHeight="1" thickBot="1">
      <c r="A10" s="8"/>
      <c r="B10" s="3230" t="s">
        <v>938</v>
      </c>
      <c r="C10" s="3231" t="s">
        <v>24</v>
      </c>
      <c r="D10" s="8"/>
      <c r="E10" s="8"/>
    </row>
  </sheetData>
  <mergeCells count="1">
    <mergeCell ref="A1:E1"/>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5B2FA-FE4E-47BD-BC7B-292823DEDE76}">
  <sheetPr>
    <tabColor theme="0"/>
  </sheetPr>
  <dimension ref="A1:E6"/>
  <sheetViews>
    <sheetView workbookViewId="0">
      <selection sqref="A1:E1"/>
    </sheetView>
  </sheetViews>
  <sheetFormatPr defaultRowHeight="14.45"/>
  <cols>
    <col min="2" max="2" width="66.5703125" customWidth="1"/>
  </cols>
  <sheetData>
    <row r="1" spans="1:5" ht="17.45">
      <c r="A1" s="3722" t="s">
        <v>939</v>
      </c>
      <c r="B1" s="3722"/>
      <c r="C1" s="3722"/>
      <c r="D1" s="3722"/>
      <c r="E1" s="3722"/>
    </row>
    <row r="3" spans="1:5" ht="15" thickBot="1">
      <c r="B3" s="8"/>
      <c r="C3" s="8"/>
      <c r="D3" s="8"/>
      <c r="E3" s="8"/>
    </row>
    <row r="4" spans="1:5" ht="15" thickBot="1">
      <c r="B4" s="3232"/>
      <c r="C4" s="3327" t="s">
        <v>164</v>
      </c>
      <c r="D4" s="8"/>
      <c r="E4" s="8"/>
    </row>
    <row r="5" spans="1:5" ht="66.75" customHeight="1">
      <c r="B5" s="3323" t="s">
        <v>940</v>
      </c>
      <c r="C5" s="3324">
        <v>0</v>
      </c>
      <c r="D5" s="8"/>
      <c r="E5" s="8"/>
    </row>
    <row r="6" spans="1:5" ht="28.5" customHeight="1">
      <c r="B6" s="3325" t="s">
        <v>941</v>
      </c>
      <c r="C6" s="3326" t="s">
        <v>180</v>
      </c>
      <c r="D6" s="8"/>
      <c r="E6" s="8"/>
    </row>
  </sheetData>
  <mergeCells count="1">
    <mergeCell ref="A1:E1"/>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C43A4-76E0-47D6-A14C-62985EB044A3}">
  <sheetPr>
    <tabColor theme="0"/>
  </sheetPr>
  <dimension ref="A1:E7"/>
  <sheetViews>
    <sheetView workbookViewId="0">
      <selection sqref="A1:E1"/>
    </sheetView>
  </sheetViews>
  <sheetFormatPr defaultRowHeight="14.45"/>
  <cols>
    <col min="2" max="2" width="56.85546875" customWidth="1"/>
  </cols>
  <sheetData>
    <row r="1" spans="1:5" ht="17.45">
      <c r="A1" s="3722" t="s">
        <v>942</v>
      </c>
      <c r="B1" s="3722"/>
      <c r="C1" s="3722"/>
      <c r="D1" s="3722"/>
      <c r="E1" s="3722"/>
    </row>
    <row r="3" spans="1:5" ht="15" thickBot="1"/>
    <row r="4" spans="1:5" ht="15" thickBot="1">
      <c r="B4" s="3086"/>
      <c r="C4" s="3087" t="s">
        <v>164</v>
      </c>
    </row>
    <row r="5" spans="1:5" ht="26.45">
      <c r="B5" s="3088" t="s">
        <v>943</v>
      </c>
      <c r="C5" s="3089"/>
    </row>
    <row r="6" spans="1:5" ht="30.75" customHeight="1">
      <c r="B6" s="3090" t="s">
        <v>944</v>
      </c>
      <c r="C6" s="3091">
        <v>11</v>
      </c>
    </row>
    <row r="7" spans="1:5" ht="25.15" customHeight="1" thickBot="1">
      <c r="B7" s="3092" t="s">
        <v>945</v>
      </c>
      <c r="C7" s="3093">
        <v>20</v>
      </c>
    </row>
  </sheetData>
  <mergeCells count="1">
    <mergeCell ref="A1:E1"/>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FA545-61B1-4D22-A01E-5222A5BA2DF2}">
  <sheetPr codeName="Sheet28">
    <tabColor theme="0"/>
  </sheetPr>
  <dimension ref="B1:K32"/>
  <sheetViews>
    <sheetView showGridLines="0" topLeftCell="A3" zoomScaleNormal="100" workbookViewId="0"/>
  </sheetViews>
  <sheetFormatPr defaultColWidth="8.85546875" defaultRowHeight="13.9"/>
  <cols>
    <col min="1" max="1" width="3.7109375" style="8" customWidth="1"/>
    <col min="2" max="2" width="30.42578125" style="8" customWidth="1"/>
    <col min="3" max="3" width="36.85546875" style="9" customWidth="1"/>
    <col min="4" max="6" width="15.7109375" style="32" customWidth="1"/>
    <col min="7" max="10" width="14.5703125" style="8" customWidth="1"/>
    <col min="11" max="16384" width="8.85546875" style="8"/>
  </cols>
  <sheetData>
    <row r="1" spans="2:11" ht="17.45">
      <c r="B1" s="15" t="s">
        <v>946</v>
      </c>
    </row>
    <row r="2" spans="2:11" ht="17.45">
      <c r="B2" s="900" t="s">
        <v>947</v>
      </c>
      <c r="C2" s="901"/>
    </row>
    <row r="3" spans="2:11" s="206" customFormat="1" ht="12.6" thickBot="1">
      <c r="B3" s="1756"/>
      <c r="C3" s="1757"/>
      <c r="D3" s="205"/>
      <c r="E3" s="205"/>
      <c r="F3" s="205"/>
    </row>
    <row r="4" spans="2:11" s="6" customFormat="1" thickBot="1">
      <c r="B4" s="1764" t="s">
        <v>788</v>
      </c>
      <c r="C4" s="1769" t="s">
        <v>162</v>
      </c>
      <c r="D4" s="1766" t="s">
        <v>12</v>
      </c>
      <c r="E4" s="1765" t="s">
        <v>13</v>
      </c>
      <c r="F4" s="1765" t="s">
        <v>14</v>
      </c>
      <c r="G4" s="1765" t="s">
        <v>15</v>
      </c>
      <c r="H4" s="1765" t="s">
        <v>16</v>
      </c>
      <c r="I4" s="1765" t="s">
        <v>163</v>
      </c>
      <c r="J4" s="2131" t="s">
        <v>164</v>
      </c>
    </row>
    <row r="5" spans="2:11" s="6" customFormat="1" ht="13.15">
      <c r="B5" s="1760" t="s">
        <v>274</v>
      </c>
      <c r="C5" s="1761" t="s">
        <v>948</v>
      </c>
      <c r="D5" s="1762">
        <v>4856064</v>
      </c>
      <c r="E5" s="1735">
        <v>4486162</v>
      </c>
      <c r="F5" s="1735">
        <v>413321</v>
      </c>
      <c r="G5" s="1763">
        <v>1140342</v>
      </c>
      <c r="H5" s="1763">
        <v>3330468</v>
      </c>
      <c r="I5" s="2133">
        <v>4077406</v>
      </c>
      <c r="J5" s="2862">
        <v>4014657</v>
      </c>
      <c r="K5" s="3152"/>
    </row>
    <row r="6" spans="2:11" s="6" customFormat="1" ht="13.15">
      <c r="B6" s="1752" t="s">
        <v>279</v>
      </c>
      <c r="C6" s="1749" t="s">
        <v>948</v>
      </c>
      <c r="D6" s="1744">
        <v>28576919</v>
      </c>
      <c r="E6" s="54">
        <v>28229942</v>
      </c>
      <c r="F6" s="54">
        <v>2841408</v>
      </c>
      <c r="G6" s="55">
        <v>9142442</v>
      </c>
      <c r="H6" s="55">
        <v>25237615</v>
      </c>
      <c r="I6" s="2134">
        <v>28736112</v>
      </c>
      <c r="J6" s="2863">
        <v>31136769</v>
      </c>
      <c r="K6" s="3152"/>
    </row>
    <row r="7" spans="2:11" s="6" customFormat="1" ht="13.15">
      <c r="B7" s="1752" t="s">
        <v>278</v>
      </c>
      <c r="C7" s="1749" t="s">
        <v>948</v>
      </c>
      <c r="D7" s="1767">
        <v>28396165</v>
      </c>
      <c r="E7" s="55">
        <v>26882581</v>
      </c>
      <c r="F7" s="55">
        <v>3069220</v>
      </c>
      <c r="G7" s="55">
        <v>10261591</v>
      </c>
      <c r="H7" s="55">
        <v>25512720</v>
      </c>
      <c r="I7" s="2134">
        <v>28513853</v>
      </c>
      <c r="J7" s="2863">
        <v>29892261</v>
      </c>
      <c r="K7" s="3152"/>
    </row>
    <row r="8" spans="2:11" s="6" customFormat="1" thickBot="1">
      <c r="B8" s="1758" t="s">
        <v>183</v>
      </c>
      <c r="C8" s="1750" t="s">
        <v>948</v>
      </c>
      <c r="D8" s="1768">
        <f>SUM(D5:D7)</f>
        <v>61829148</v>
      </c>
      <c r="E8" s="1759">
        <f t="shared" ref="E8:H8" si="0">SUM(E5:E7)</f>
        <v>59598685</v>
      </c>
      <c r="F8" s="1759">
        <f t="shared" si="0"/>
        <v>6323949</v>
      </c>
      <c r="G8" s="1759">
        <f t="shared" si="0"/>
        <v>20544375</v>
      </c>
      <c r="H8" s="1759">
        <f t="shared" si="0"/>
        <v>54080803</v>
      </c>
      <c r="I8" s="1759">
        <f>SUM(I5:I7)</f>
        <v>61327371</v>
      </c>
      <c r="J8" s="2132">
        <f>SUM(J5:J7)</f>
        <v>65043687</v>
      </c>
      <c r="K8" s="3152"/>
    </row>
    <row r="9" spans="2:11" s="6" customFormat="1" thickBot="1">
      <c r="B9" s="27"/>
      <c r="C9" s="56"/>
      <c r="D9" s="28"/>
      <c r="E9" s="28"/>
      <c r="F9" s="28"/>
      <c r="G9" s="28"/>
      <c r="H9" s="28"/>
      <c r="I9" s="28"/>
      <c r="J9" s="28"/>
    </row>
    <row r="10" spans="2:11" s="6" customFormat="1" thickBot="1">
      <c r="B10" s="1738" t="s">
        <v>949</v>
      </c>
      <c r="C10" s="1747" t="s">
        <v>162</v>
      </c>
      <c r="D10" s="1742" t="s">
        <v>12</v>
      </c>
      <c r="E10" s="1739" t="s">
        <v>13</v>
      </c>
      <c r="F10" s="1739" t="s">
        <v>14</v>
      </c>
      <c r="G10" s="1739" t="s">
        <v>15</v>
      </c>
      <c r="H10" s="1739" t="s">
        <v>16</v>
      </c>
      <c r="I10" s="1739" t="s">
        <v>163</v>
      </c>
      <c r="J10" s="2131" t="s">
        <v>164</v>
      </c>
    </row>
    <row r="11" spans="2:11" s="6" customFormat="1" ht="26.45">
      <c r="B11" s="4261" t="s">
        <v>274</v>
      </c>
      <c r="C11" s="1748" t="s">
        <v>950</v>
      </c>
      <c r="D11" s="1743" t="s">
        <v>24</v>
      </c>
      <c r="E11" s="1736" t="s">
        <v>24</v>
      </c>
      <c r="F11" s="1736" t="s">
        <v>24</v>
      </c>
      <c r="G11" s="1736" t="s">
        <v>24</v>
      </c>
      <c r="H11" s="1736" t="s">
        <v>24</v>
      </c>
      <c r="I11" s="2137">
        <v>47217</v>
      </c>
      <c r="J11" s="2864">
        <v>40884</v>
      </c>
    </row>
    <row r="12" spans="2:11" s="6" customFormat="1" ht="26.45">
      <c r="B12" s="4262"/>
      <c r="C12" s="1749" t="s">
        <v>951</v>
      </c>
      <c r="D12" s="1744" t="s">
        <v>24</v>
      </c>
      <c r="E12" s="54" t="s">
        <v>24</v>
      </c>
      <c r="F12" s="54" t="s">
        <v>24</v>
      </c>
      <c r="G12" s="54" t="s">
        <v>24</v>
      </c>
      <c r="H12" s="54" t="s">
        <v>24</v>
      </c>
      <c r="I12" s="855">
        <v>19709</v>
      </c>
      <c r="J12" s="2865">
        <v>20915</v>
      </c>
    </row>
    <row r="13" spans="2:11" ht="27" thickBot="1">
      <c r="B13" s="4263"/>
      <c r="C13" s="1750" t="s">
        <v>952</v>
      </c>
      <c r="D13" s="1745">
        <v>76923</v>
      </c>
      <c r="E13" s="1737">
        <v>74181</v>
      </c>
      <c r="F13" s="1737">
        <v>45295</v>
      </c>
      <c r="G13" s="1737">
        <v>88174</v>
      </c>
      <c r="H13" s="1737">
        <v>64655</v>
      </c>
      <c r="I13" s="1737">
        <f>SUM(I11:I12)</f>
        <v>66926</v>
      </c>
      <c r="J13" s="2135">
        <f>SUM(J11:J12)</f>
        <v>61799</v>
      </c>
    </row>
    <row r="14" spans="2:11" s="6" customFormat="1" ht="26.45">
      <c r="B14" s="4261" t="s">
        <v>279</v>
      </c>
      <c r="C14" s="1748" t="s">
        <v>950</v>
      </c>
      <c r="D14" s="1743" t="s">
        <v>24</v>
      </c>
      <c r="E14" s="1736" t="s">
        <v>24</v>
      </c>
      <c r="F14" s="1736" t="s">
        <v>24</v>
      </c>
      <c r="G14" s="1736" t="s">
        <v>24</v>
      </c>
      <c r="H14" s="1736" t="s">
        <v>24</v>
      </c>
      <c r="I14" s="2137">
        <v>168090</v>
      </c>
      <c r="J14" s="2864">
        <v>171245</v>
      </c>
    </row>
    <row r="15" spans="2:11" s="6" customFormat="1" ht="26.45">
      <c r="B15" s="4262"/>
      <c r="C15" s="1749" t="s">
        <v>951</v>
      </c>
      <c r="D15" s="1744" t="s">
        <v>24</v>
      </c>
      <c r="E15" s="54" t="s">
        <v>24</v>
      </c>
      <c r="F15" s="54" t="s">
        <v>24</v>
      </c>
      <c r="G15" s="54" t="s">
        <v>24</v>
      </c>
      <c r="H15" s="54" t="s">
        <v>24</v>
      </c>
      <c r="I15" s="855">
        <v>15711</v>
      </c>
      <c r="J15" s="2865">
        <v>28102</v>
      </c>
    </row>
    <row r="16" spans="2:11" s="6" customFormat="1" ht="27" thickBot="1">
      <c r="B16" s="4263"/>
      <c r="C16" s="1750" t="s">
        <v>952</v>
      </c>
      <c r="D16" s="1745">
        <v>201928</v>
      </c>
      <c r="E16" s="1737">
        <v>195807</v>
      </c>
      <c r="F16" s="1737">
        <v>37270</v>
      </c>
      <c r="G16" s="1737">
        <v>58949</v>
      </c>
      <c r="H16" s="1737">
        <v>166699</v>
      </c>
      <c r="I16" s="1737">
        <f>SUM(I14:I15)</f>
        <v>183801</v>
      </c>
      <c r="J16" s="2135">
        <f>SUM(J14:J15)</f>
        <v>199347</v>
      </c>
    </row>
    <row r="17" spans="2:10" ht="26.45">
      <c r="B17" s="4261" t="s">
        <v>278</v>
      </c>
      <c r="C17" s="1748" t="s">
        <v>950</v>
      </c>
      <c r="D17" s="1743" t="s">
        <v>24</v>
      </c>
      <c r="E17" s="1736" t="s">
        <v>24</v>
      </c>
      <c r="F17" s="1736" t="s">
        <v>24</v>
      </c>
      <c r="G17" s="1736" t="s">
        <v>24</v>
      </c>
      <c r="H17" s="1736" t="s">
        <v>24</v>
      </c>
      <c r="I17" s="2137">
        <v>179487</v>
      </c>
      <c r="J17" s="2864">
        <v>173001</v>
      </c>
    </row>
    <row r="18" spans="2:10" ht="26.45">
      <c r="B18" s="4262"/>
      <c r="C18" s="1749" t="s">
        <v>951</v>
      </c>
      <c r="D18" s="1744" t="s">
        <v>24</v>
      </c>
      <c r="E18" s="54" t="s">
        <v>24</v>
      </c>
      <c r="F18" s="54" t="s">
        <v>24</v>
      </c>
      <c r="G18" s="54" t="s">
        <v>24</v>
      </c>
      <c r="H18" s="54" t="s">
        <v>24</v>
      </c>
      <c r="I18" s="855">
        <v>18983</v>
      </c>
      <c r="J18" s="2865">
        <v>30509</v>
      </c>
    </row>
    <row r="19" spans="2:10" s="6" customFormat="1" ht="27" thickBot="1">
      <c r="B19" s="4263"/>
      <c r="C19" s="1750" t="s">
        <v>952</v>
      </c>
      <c r="D19" s="1745">
        <v>203394</v>
      </c>
      <c r="E19" s="1737">
        <v>193933</v>
      </c>
      <c r="F19" s="1737">
        <v>56686</v>
      </c>
      <c r="G19" s="1737">
        <v>115895</v>
      </c>
      <c r="H19" s="1737">
        <v>186225</v>
      </c>
      <c r="I19" s="1737">
        <f>SUM(I17:I18)</f>
        <v>198470</v>
      </c>
      <c r="J19" s="2135">
        <f>SUM(J17:J18)</f>
        <v>203510</v>
      </c>
    </row>
    <row r="20" spans="2:10" s="6" customFormat="1" ht="27" thickBot="1">
      <c r="B20" s="1740" t="s">
        <v>183</v>
      </c>
      <c r="C20" s="1751" t="s">
        <v>952</v>
      </c>
      <c r="D20" s="1746">
        <f t="shared" ref="D20:F20" si="1">SUM(D13,D16,D19)</f>
        <v>482245</v>
      </c>
      <c r="E20" s="1741">
        <f>SUM(E13,E16,E19)</f>
        <v>463921</v>
      </c>
      <c r="F20" s="1741">
        <f t="shared" si="1"/>
        <v>139251</v>
      </c>
      <c r="G20" s="1741">
        <f>SUM(G13,G16,G19)</f>
        <v>263018</v>
      </c>
      <c r="H20" s="1741">
        <f t="shared" ref="H20:I20" si="2">SUM(H13,H16,H19)</f>
        <v>417579</v>
      </c>
      <c r="I20" s="1741">
        <f t="shared" si="2"/>
        <v>449197</v>
      </c>
      <c r="J20" s="2136">
        <f t="shared" ref="J20" si="3">SUM(J13,J16,J19)</f>
        <v>464656</v>
      </c>
    </row>
    <row r="21" spans="2:10" s="6" customFormat="1" thickBot="1">
      <c r="B21" s="27"/>
      <c r="C21" s="56"/>
      <c r="D21" s="28"/>
      <c r="E21" s="28"/>
      <c r="F21" s="28"/>
      <c r="G21" s="28"/>
      <c r="H21" s="28"/>
      <c r="I21" s="28"/>
      <c r="J21" s="28"/>
    </row>
    <row r="22" spans="2:10" s="6" customFormat="1" thickBot="1">
      <c r="B22" s="1738" t="s">
        <v>953</v>
      </c>
      <c r="C22" s="1747" t="s">
        <v>162</v>
      </c>
      <c r="D22" s="1742" t="s">
        <v>12</v>
      </c>
      <c r="E22" s="1739" t="s">
        <v>13</v>
      </c>
      <c r="F22" s="1739" t="s">
        <v>14</v>
      </c>
      <c r="G22" s="1739" t="s">
        <v>15</v>
      </c>
      <c r="H22" s="1739" t="s">
        <v>16</v>
      </c>
      <c r="I22" s="1739" t="s">
        <v>163</v>
      </c>
      <c r="J22" s="2131" t="s">
        <v>164</v>
      </c>
    </row>
    <row r="23" spans="2:10" s="6" customFormat="1" ht="26.45">
      <c r="B23" s="1760" t="s">
        <v>274</v>
      </c>
      <c r="C23" s="1761" t="s">
        <v>954</v>
      </c>
      <c r="D23" s="1762">
        <v>366814</v>
      </c>
      <c r="E23" s="1735">
        <v>370298</v>
      </c>
      <c r="F23" s="1735">
        <v>439473</v>
      </c>
      <c r="G23" s="1735">
        <v>455769</v>
      </c>
      <c r="H23" s="1735">
        <v>394846</v>
      </c>
      <c r="I23" s="1580">
        <v>368715</v>
      </c>
      <c r="J23" s="2866">
        <v>367627</v>
      </c>
    </row>
    <row r="24" spans="2:10" s="6" customFormat="1" ht="26.45">
      <c r="B24" s="1752" t="s">
        <v>279</v>
      </c>
      <c r="C24" s="1749" t="s">
        <v>954</v>
      </c>
      <c r="D24" s="1744">
        <v>117246</v>
      </c>
      <c r="E24" s="54">
        <v>107386</v>
      </c>
      <c r="F24" s="54">
        <v>39763</v>
      </c>
      <c r="G24" s="54">
        <v>56671</v>
      </c>
      <c r="H24" s="54">
        <v>63500</v>
      </c>
      <c r="I24" s="855">
        <v>74016</v>
      </c>
      <c r="J24" s="2865">
        <v>90464</v>
      </c>
    </row>
    <row r="25" spans="2:10" s="6" customFormat="1" ht="26.45">
      <c r="B25" s="1752" t="s">
        <v>278</v>
      </c>
      <c r="C25" s="1749" t="s">
        <v>954</v>
      </c>
      <c r="D25" s="1744">
        <v>249694.19639999999</v>
      </c>
      <c r="E25" s="54">
        <v>252379</v>
      </c>
      <c r="F25" s="54">
        <v>287005</v>
      </c>
      <c r="G25" s="54">
        <v>279280</v>
      </c>
      <c r="H25" s="54">
        <v>255882</v>
      </c>
      <c r="I25" s="855">
        <v>288112</v>
      </c>
      <c r="J25" s="2865">
        <v>308397</v>
      </c>
    </row>
    <row r="26" spans="2:10" s="6" customFormat="1" ht="27" thickBot="1">
      <c r="B26" s="1753" t="s">
        <v>183</v>
      </c>
      <c r="C26" s="1750" t="s">
        <v>954</v>
      </c>
      <c r="D26" s="1755">
        <f>SUM(D23:D25)</f>
        <v>733754.19640000002</v>
      </c>
      <c r="E26" s="1754">
        <f t="shared" ref="E26:I26" si="4">SUM(E23:E25)</f>
        <v>730063</v>
      </c>
      <c r="F26" s="1754">
        <f t="shared" si="4"/>
        <v>766241</v>
      </c>
      <c r="G26" s="1754">
        <f t="shared" si="4"/>
        <v>791720</v>
      </c>
      <c r="H26" s="1754">
        <f t="shared" si="4"/>
        <v>714228</v>
      </c>
      <c r="I26" s="1754">
        <f t="shared" si="4"/>
        <v>730843</v>
      </c>
      <c r="J26" s="2138">
        <f>SUM(J23:J25)</f>
        <v>766488</v>
      </c>
    </row>
    <row r="32" spans="2:10">
      <c r="C32" s="9" t="s">
        <v>196</v>
      </c>
    </row>
  </sheetData>
  <mergeCells count="3">
    <mergeCell ref="B11:B13"/>
    <mergeCell ref="B17:B19"/>
    <mergeCell ref="B14:B16"/>
  </mergeCells>
  <phoneticPr fontId="16" type="noConversion"/>
  <pageMargins left="0.25" right="0.25" top="0.75" bottom="0.75" header="0.3" footer="0.3"/>
  <pageSetup paperSize="8" orientation="landscape" r:id="rId1"/>
  <headerFooter>
    <oddFooter>&amp;C_x000D_&amp;1#&amp;"Calibri"&amp;10&amp;K000000 C2 - Internal</oddFooter>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36E67-B4EE-4764-A897-F411986AEF6B}">
  <sheetPr codeName="Sheet30">
    <tabColor theme="0"/>
    <pageSetUpPr fitToPage="1"/>
  </sheetPr>
  <dimension ref="A1:L66"/>
  <sheetViews>
    <sheetView showGridLines="0" view="pageBreakPreview" zoomScaleNormal="100" zoomScaleSheetLayoutView="100" workbookViewId="0">
      <pane xSplit="2" ySplit="3" topLeftCell="C4" activePane="bottomRight" state="frozen"/>
      <selection pane="bottomRight"/>
      <selection pane="bottomLeft" activeCell="A4" sqref="A4"/>
      <selection pane="topRight" activeCell="C1" sqref="C1"/>
    </sheetView>
  </sheetViews>
  <sheetFormatPr defaultColWidth="9.140625" defaultRowHeight="13.9"/>
  <cols>
    <col min="1" max="1" width="9.140625" style="51" customWidth="1"/>
    <col min="2" max="2" width="62.5703125" style="216" customWidth="1"/>
    <col min="3" max="3" width="26.28515625" style="50" customWidth="1"/>
    <col min="4" max="9" width="26.28515625" style="216" customWidth="1"/>
    <col min="10" max="16384" width="9.140625" style="50"/>
  </cols>
  <sheetData>
    <row r="1" spans="1:9" ht="17.45">
      <c r="A1" s="217" t="s">
        <v>955</v>
      </c>
      <c r="C1" s="218"/>
    </row>
    <row r="2" spans="1:9" ht="60.75" customHeight="1" thickBot="1">
      <c r="A2" s="217" t="s">
        <v>956</v>
      </c>
      <c r="C2" s="511"/>
      <c r="D2" s="512"/>
      <c r="E2" s="512"/>
      <c r="F2" s="512"/>
      <c r="G2" s="512"/>
      <c r="H2" s="512"/>
      <c r="I2" s="512"/>
    </row>
    <row r="3" spans="1:9" ht="14.45" thickBot="1">
      <c r="A3" s="50"/>
      <c r="B3" s="510"/>
      <c r="C3" s="1770" t="s">
        <v>12</v>
      </c>
      <c r="D3" s="1771" t="s">
        <v>13</v>
      </c>
      <c r="E3" s="1771" t="s">
        <v>14</v>
      </c>
      <c r="F3" s="1771" t="s">
        <v>15</v>
      </c>
      <c r="G3" s="1771" t="s">
        <v>16</v>
      </c>
      <c r="H3" s="1771" t="s">
        <v>163</v>
      </c>
      <c r="I3" s="1771" t="s">
        <v>164</v>
      </c>
    </row>
    <row r="4" spans="1:9" ht="26.45">
      <c r="A4" s="4266" t="s">
        <v>274</v>
      </c>
      <c r="B4" s="1772" t="s">
        <v>957</v>
      </c>
      <c r="C4" s="2451">
        <v>0.82857142857142851</v>
      </c>
      <c r="D4" s="2313">
        <v>0.87179487179487181</v>
      </c>
      <c r="E4" s="2313">
        <v>0.83333333333333326</v>
      </c>
      <c r="F4" s="2313">
        <v>0.83050000000000002</v>
      </c>
      <c r="G4" s="2208">
        <v>0.98129999999999995</v>
      </c>
      <c r="H4" s="2208">
        <v>0.97299999999999998</v>
      </c>
      <c r="I4" s="3031">
        <v>0.99</v>
      </c>
    </row>
    <row r="5" spans="1:9" ht="14.25" customHeight="1">
      <c r="A5" s="4267"/>
      <c r="B5" s="1773" t="s">
        <v>958</v>
      </c>
      <c r="C5" s="2311" t="s">
        <v>959</v>
      </c>
      <c r="D5" s="2317">
        <v>0</v>
      </c>
      <c r="E5" s="2317">
        <v>0</v>
      </c>
      <c r="F5" s="2317">
        <v>0</v>
      </c>
      <c r="G5" s="2317">
        <v>0</v>
      </c>
      <c r="H5" s="2317">
        <v>0</v>
      </c>
      <c r="I5" s="3032">
        <v>0</v>
      </c>
    </row>
    <row r="6" spans="1:9" ht="14.25" customHeight="1">
      <c r="A6" s="4267"/>
      <c r="B6" s="1773" t="s">
        <v>960</v>
      </c>
      <c r="C6" s="2311" t="s">
        <v>959</v>
      </c>
      <c r="D6" s="2317">
        <v>100</v>
      </c>
      <c r="E6" s="2317">
        <v>279</v>
      </c>
      <c r="F6" s="2317">
        <v>87</v>
      </c>
      <c r="G6" s="2317">
        <v>157</v>
      </c>
      <c r="H6" s="2312">
        <v>368.2</v>
      </c>
      <c r="I6" s="3030">
        <v>515.90599999999995</v>
      </c>
    </row>
    <row r="7" spans="1:9" ht="14.25" customHeight="1">
      <c r="A7" s="4267"/>
      <c r="B7" s="1773" t="s">
        <v>961</v>
      </c>
      <c r="C7" s="2311" t="s">
        <v>959</v>
      </c>
      <c r="D7" s="2317">
        <v>0</v>
      </c>
      <c r="E7" s="2317">
        <v>0</v>
      </c>
      <c r="F7" s="2317">
        <v>0</v>
      </c>
      <c r="G7" s="2317">
        <v>0</v>
      </c>
      <c r="H7" s="2317">
        <v>0</v>
      </c>
      <c r="I7" s="3032">
        <v>0</v>
      </c>
    </row>
    <row r="8" spans="1:9" ht="14.25" customHeight="1">
      <c r="A8" s="4267"/>
      <c r="B8" s="1773" t="s">
        <v>962</v>
      </c>
      <c r="C8" s="2307">
        <v>0.118786</v>
      </c>
      <c r="D8" s="1261">
        <v>9.98E-2</v>
      </c>
      <c r="E8" s="1261">
        <v>0.27961399999999997</v>
      </c>
      <c r="F8" s="1261">
        <v>0.2</v>
      </c>
      <c r="G8" s="2317">
        <v>112.008</v>
      </c>
      <c r="H8" s="2317">
        <v>84.037000000000006</v>
      </c>
      <c r="I8" s="3032">
        <v>148.69999999999999</v>
      </c>
    </row>
    <row r="9" spans="1:9" ht="26.45">
      <c r="A9" s="4267"/>
      <c r="B9" s="1773" t="s">
        <v>963</v>
      </c>
      <c r="C9" s="2311">
        <v>1</v>
      </c>
      <c r="D9" s="2309">
        <v>1</v>
      </c>
      <c r="E9" s="2309">
        <v>1</v>
      </c>
      <c r="F9" s="2309">
        <v>1</v>
      </c>
      <c r="G9" s="2309" t="s">
        <v>959</v>
      </c>
      <c r="H9" s="2309" t="s">
        <v>959</v>
      </c>
      <c r="I9" s="3033" t="s">
        <v>959</v>
      </c>
    </row>
    <row r="10" spans="1:9" ht="14.25" customHeight="1">
      <c r="A10" s="4267"/>
      <c r="B10" s="1773" t="s">
        <v>964</v>
      </c>
      <c r="C10" s="2440">
        <v>126.583</v>
      </c>
      <c r="D10" s="2428">
        <v>27.15</v>
      </c>
      <c r="E10" s="2428">
        <v>91.555000000000007</v>
      </c>
      <c r="F10" s="2428">
        <v>89.66</v>
      </c>
      <c r="G10" s="2312">
        <v>139.22300000000001</v>
      </c>
      <c r="H10" s="2312">
        <v>108</v>
      </c>
      <c r="I10" s="3030">
        <v>100.5</v>
      </c>
    </row>
    <row r="11" spans="1:9" ht="14.25" customHeight="1">
      <c r="A11" s="4267"/>
      <c r="B11" s="1773" t="s">
        <v>965</v>
      </c>
      <c r="C11" s="2440"/>
      <c r="D11" s="2428"/>
      <c r="E11" s="2428"/>
      <c r="F11" s="2428"/>
      <c r="G11" s="2312"/>
      <c r="H11" s="2312"/>
      <c r="I11" s="3030">
        <v>16.2</v>
      </c>
    </row>
    <row r="12" spans="1:9" ht="14.25" customHeight="1">
      <c r="A12" s="4267"/>
      <c r="B12" s="1773" t="s">
        <v>966</v>
      </c>
      <c r="C12" s="2311" t="s">
        <v>959</v>
      </c>
      <c r="D12" s="2309" t="s">
        <v>959</v>
      </c>
      <c r="E12" s="2309" t="s">
        <v>959</v>
      </c>
      <c r="F12" s="2309" t="s">
        <v>959</v>
      </c>
      <c r="G12" s="2309" t="s">
        <v>959</v>
      </c>
      <c r="H12" s="2309" t="s">
        <v>959</v>
      </c>
      <c r="I12" s="3034" t="s">
        <v>959</v>
      </c>
    </row>
    <row r="13" spans="1:9" ht="14.25" customHeight="1">
      <c r="A13" s="4267"/>
      <c r="B13" s="1773" t="s">
        <v>967</v>
      </c>
      <c r="C13" s="2311" t="s">
        <v>959</v>
      </c>
      <c r="D13" s="2309" t="s">
        <v>959</v>
      </c>
      <c r="E13" s="2429">
        <v>0.22800000000000001</v>
      </c>
      <c r="F13" s="2429">
        <v>0.2</v>
      </c>
      <c r="G13" s="2309" t="s">
        <v>959</v>
      </c>
      <c r="H13" s="2309" t="s">
        <v>959</v>
      </c>
      <c r="I13" s="3035">
        <v>0.6</v>
      </c>
    </row>
    <row r="14" spans="1:9" ht="14.25" customHeight="1">
      <c r="A14" s="4267"/>
      <c r="B14" s="1773" t="s">
        <v>968</v>
      </c>
      <c r="C14" s="2430">
        <v>35</v>
      </c>
      <c r="D14" s="1260">
        <v>39</v>
      </c>
      <c r="E14" s="1260">
        <v>42</v>
      </c>
      <c r="F14" s="1260" t="s">
        <v>24</v>
      </c>
      <c r="G14" s="1259">
        <v>86</v>
      </c>
      <c r="H14" s="1259">
        <v>179</v>
      </c>
      <c r="I14" s="3036">
        <v>70</v>
      </c>
    </row>
    <row r="15" spans="1:9" ht="14.25" customHeight="1">
      <c r="A15" s="4267"/>
      <c r="B15" s="1773" t="s">
        <v>969</v>
      </c>
      <c r="C15" s="2431">
        <v>6</v>
      </c>
      <c r="D15" s="2432">
        <v>5</v>
      </c>
      <c r="E15" s="2432">
        <v>7</v>
      </c>
      <c r="F15" s="1260" t="s">
        <v>24</v>
      </c>
      <c r="G15" s="1259">
        <v>6</v>
      </c>
      <c r="H15" s="1259">
        <v>5</v>
      </c>
      <c r="I15" s="3036">
        <v>1</v>
      </c>
    </row>
    <row r="16" spans="1:9" ht="14.25" customHeight="1">
      <c r="A16" s="4267"/>
      <c r="B16" s="1773" t="s">
        <v>970</v>
      </c>
      <c r="C16" s="2433">
        <v>0.73299999999999998</v>
      </c>
      <c r="D16" s="1096">
        <v>0.7</v>
      </c>
      <c r="E16" s="1096">
        <v>0.88400000000000001</v>
      </c>
      <c r="F16" s="1095">
        <v>0.81499999999999995</v>
      </c>
      <c r="G16" s="1095">
        <v>0.96299999999999997</v>
      </c>
      <c r="H16" s="1095">
        <v>0.85299999999999998</v>
      </c>
      <c r="I16" s="3037">
        <v>0.92</v>
      </c>
    </row>
    <row r="17" spans="1:12" ht="14.25" customHeight="1">
      <c r="A17" s="4267"/>
      <c r="B17" s="1773" t="s">
        <v>971</v>
      </c>
      <c r="C17" s="2431">
        <v>30</v>
      </c>
      <c r="D17" s="2432">
        <v>30</v>
      </c>
      <c r="E17" s="2432">
        <v>43</v>
      </c>
      <c r="F17" s="1260" t="s">
        <v>24</v>
      </c>
      <c r="G17" s="1259">
        <v>27</v>
      </c>
      <c r="H17" s="1259">
        <v>34</v>
      </c>
      <c r="I17" s="3036">
        <v>39</v>
      </c>
    </row>
    <row r="18" spans="1:12" ht="15" customHeight="1" thickBot="1">
      <c r="A18" s="4267"/>
      <c r="B18" s="1774" t="s">
        <v>972</v>
      </c>
      <c r="C18" s="2434">
        <v>8</v>
      </c>
      <c r="D18" s="2435">
        <v>9</v>
      </c>
      <c r="E18" s="2435">
        <v>5</v>
      </c>
      <c r="F18" s="2318" t="s">
        <v>24</v>
      </c>
      <c r="G18" s="2436">
        <v>1</v>
      </c>
      <c r="H18" s="2436">
        <v>5</v>
      </c>
      <c r="I18" s="3067">
        <v>3</v>
      </c>
    </row>
    <row r="19" spans="1:12" ht="26.25" customHeight="1">
      <c r="A19" s="4268" t="s">
        <v>278</v>
      </c>
      <c r="B19" s="1772" t="s">
        <v>973</v>
      </c>
      <c r="C19" s="2437">
        <v>0.93548387096774188</v>
      </c>
      <c r="D19" s="2438">
        <v>1</v>
      </c>
      <c r="E19" s="2438">
        <v>0.95238095238095233</v>
      </c>
      <c r="F19" s="2438">
        <v>0.97919999999999996</v>
      </c>
      <c r="G19" s="2205">
        <v>0.96599999999999997</v>
      </c>
      <c r="H19" s="2439">
        <v>0.93200000000000005</v>
      </c>
      <c r="I19" s="3068">
        <v>1</v>
      </c>
    </row>
    <row r="20" spans="1:12" ht="14.25" customHeight="1">
      <c r="A20" s="4269"/>
      <c r="B20" s="1773" t="s">
        <v>958</v>
      </c>
      <c r="C20" s="4265">
        <v>321.18700000000001</v>
      </c>
      <c r="D20" s="1261">
        <v>0</v>
      </c>
      <c r="E20" s="1261">
        <v>11.03</v>
      </c>
      <c r="F20" s="1261">
        <v>2.2210000000000001</v>
      </c>
      <c r="G20" s="2317">
        <v>25.382999999999999</v>
      </c>
      <c r="H20" s="2441">
        <v>17.846</v>
      </c>
      <c r="I20" s="3069">
        <v>20.236999999999998</v>
      </c>
    </row>
    <row r="21" spans="1:12" ht="14.25" customHeight="1">
      <c r="A21" s="4269"/>
      <c r="B21" s="1773" t="s">
        <v>960</v>
      </c>
      <c r="C21" s="4265"/>
      <c r="D21" s="1261">
        <v>35</v>
      </c>
      <c r="E21" s="1261">
        <v>11.741</v>
      </c>
      <c r="F21" s="1261">
        <v>824.16700000000003</v>
      </c>
      <c r="G21" s="2317">
        <v>1438.9079999999999</v>
      </c>
      <c r="H21" s="2441">
        <v>1094.4000000000001</v>
      </c>
      <c r="I21" s="3069">
        <v>1643.55</v>
      </c>
    </row>
    <row r="22" spans="1:12" ht="14.25" customHeight="1">
      <c r="A22" s="4269"/>
      <c r="B22" s="1773" t="s">
        <v>961</v>
      </c>
      <c r="C22" s="4265"/>
      <c r="D22" s="1261">
        <v>98.186000000000007</v>
      </c>
      <c r="E22" s="1261">
        <v>381.62200000000001</v>
      </c>
      <c r="F22" s="1261">
        <v>0.68100000000000005</v>
      </c>
      <c r="G22" s="2442">
        <v>15.34</v>
      </c>
      <c r="H22" s="2441">
        <v>0.9</v>
      </c>
      <c r="I22" s="3069">
        <v>1.48</v>
      </c>
    </row>
    <row r="23" spans="1:12" ht="14.25" customHeight="1">
      <c r="A23" s="4269"/>
      <c r="B23" s="1773" t="s">
        <v>974</v>
      </c>
      <c r="C23" s="2440">
        <v>128.37200000000001</v>
      </c>
      <c r="D23" s="1261">
        <v>8.5090000000000003</v>
      </c>
      <c r="E23" s="1261">
        <v>177.11799999999999</v>
      </c>
      <c r="F23" s="1261">
        <v>170</v>
      </c>
      <c r="G23" s="2317">
        <v>154.77199999999999</v>
      </c>
      <c r="H23" s="2443">
        <v>30.2</v>
      </c>
      <c r="I23" s="3070">
        <v>74.028000000000006</v>
      </c>
    </row>
    <row r="24" spans="1:12" ht="26.45">
      <c r="A24" s="4269"/>
      <c r="B24" s="1773" t="s">
        <v>975</v>
      </c>
      <c r="C24" s="2430">
        <v>0</v>
      </c>
      <c r="D24" s="1260">
        <v>0</v>
      </c>
      <c r="E24" s="1260">
        <v>0</v>
      </c>
      <c r="F24" s="1260">
        <v>0</v>
      </c>
      <c r="G24" s="1259">
        <v>0</v>
      </c>
      <c r="H24" s="1260">
        <v>0</v>
      </c>
      <c r="I24" s="3071">
        <v>0</v>
      </c>
    </row>
    <row r="25" spans="1:12" ht="14.25" customHeight="1">
      <c r="A25" s="4269"/>
      <c r="B25" s="1773" t="s">
        <v>964</v>
      </c>
      <c r="C25" s="2430" t="s">
        <v>976</v>
      </c>
      <c r="D25" s="2309" t="s">
        <v>959</v>
      </c>
      <c r="E25" s="1260">
        <v>549.79999999999995</v>
      </c>
      <c r="F25" s="1260">
        <v>474</v>
      </c>
      <c r="G25" s="1259">
        <v>693</v>
      </c>
      <c r="H25" s="1260">
        <v>615</v>
      </c>
      <c r="I25" s="3071">
        <v>642.70000000000005</v>
      </c>
    </row>
    <row r="26" spans="1:12" ht="14.25" customHeight="1">
      <c r="A26" s="4269"/>
      <c r="B26" s="1773" t="s">
        <v>965</v>
      </c>
      <c r="C26" s="2430"/>
      <c r="D26" s="2309"/>
      <c r="E26" s="1260"/>
      <c r="F26" s="1260"/>
      <c r="G26" s="1259"/>
      <c r="H26" s="1260"/>
      <c r="I26" s="3072">
        <v>131.24799999999999</v>
      </c>
    </row>
    <row r="27" spans="1:12" ht="14.25" customHeight="1">
      <c r="A27" s="4269"/>
      <c r="B27" s="1773" t="s">
        <v>966</v>
      </c>
      <c r="C27" s="2444" t="s">
        <v>977</v>
      </c>
      <c r="D27" s="2445" t="s">
        <v>977</v>
      </c>
      <c r="E27" s="2445" t="s">
        <v>977</v>
      </c>
      <c r="F27" s="2445" t="s">
        <v>977</v>
      </c>
      <c r="G27" s="1259" t="s">
        <v>977</v>
      </c>
      <c r="H27" s="1260" t="s">
        <v>959</v>
      </c>
      <c r="I27" s="3071" t="s">
        <v>959</v>
      </c>
    </row>
    <row r="28" spans="1:12" ht="14.25" customHeight="1">
      <c r="A28" s="4269"/>
      <c r="B28" s="1773" t="s">
        <v>967</v>
      </c>
      <c r="C28" s="2430" t="s">
        <v>977</v>
      </c>
      <c r="D28" s="1260" t="s">
        <v>977</v>
      </c>
      <c r="E28" s="2428">
        <v>346.43</v>
      </c>
      <c r="F28" s="1260" t="s">
        <v>959</v>
      </c>
      <c r="G28" s="1259" t="s">
        <v>959</v>
      </c>
      <c r="H28" s="1260" t="s">
        <v>959</v>
      </c>
      <c r="I28" s="3071">
        <v>839.75</v>
      </c>
    </row>
    <row r="29" spans="1:12" ht="14.25" customHeight="1">
      <c r="A29" s="4269"/>
      <c r="B29" s="1773" t="s">
        <v>968</v>
      </c>
      <c r="C29" s="2430">
        <v>62</v>
      </c>
      <c r="D29" s="1260">
        <v>47</v>
      </c>
      <c r="E29" s="1260">
        <v>223</v>
      </c>
      <c r="F29" s="1260">
        <v>48</v>
      </c>
      <c r="G29" s="1259">
        <v>58</v>
      </c>
      <c r="H29" s="1260">
        <v>44</v>
      </c>
      <c r="I29" s="3071">
        <v>39</v>
      </c>
      <c r="J29" s="897"/>
    </row>
    <row r="30" spans="1:12" ht="14.25" customHeight="1">
      <c r="A30" s="4269"/>
      <c r="B30" s="1773" t="s">
        <v>969</v>
      </c>
      <c r="C30" s="2431">
        <v>4</v>
      </c>
      <c r="D30" s="2432">
        <v>0</v>
      </c>
      <c r="E30" s="2432">
        <v>29</v>
      </c>
      <c r="F30" s="2432">
        <v>1</v>
      </c>
      <c r="G30" s="2432">
        <v>2</v>
      </c>
      <c r="H30" s="2446">
        <v>3</v>
      </c>
      <c r="I30" s="3073">
        <v>0</v>
      </c>
      <c r="J30" s="218"/>
      <c r="K30" s="218"/>
      <c r="L30" s="218"/>
    </row>
    <row r="31" spans="1:12" ht="14.25" customHeight="1">
      <c r="A31" s="4269"/>
      <c r="B31" s="1773" t="s">
        <v>970</v>
      </c>
      <c r="C31" s="2433">
        <v>0.90700000000000003</v>
      </c>
      <c r="D31" s="2447">
        <v>0.81799999999999995</v>
      </c>
      <c r="E31" s="2447">
        <v>0.89800000000000002</v>
      </c>
      <c r="F31" s="2447">
        <v>0.84499999999999997</v>
      </c>
      <c r="G31" s="2447">
        <v>0.96599999999999997</v>
      </c>
      <c r="H31" s="2448">
        <v>0.92700000000000005</v>
      </c>
      <c r="I31" s="3074">
        <v>0.94</v>
      </c>
    </row>
    <row r="32" spans="1:12" ht="14.25" customHeight="1">
      <c r="A32" s="4269"/>
      <c r="B32" s="1773" t="s">
        <v>971</v>
      </c>
      <c r="C32" s="2431">
        <v>43</v>
      </c>
      <c r="D32" s="2432">
        <v>99</v>
      </c>
      <c r="E32" s="2432">
        <v>176</v>
      </c>
      <c r="F32" s="2432">
        <v>232</v>
      </c>
      <c r="G32" s="2432">
        <v>200</v>
      </c>
      <c r="H32" s="2446">
        <v>82</v>
      </c>
      <c r="I32" s="3073">
        <v>17</v>
      </c>
    </row>
    <row r="33" spans="1:9" ht="15" customHeight="1" thickBot="1">
      <c r="A33" s="4270"/>
      <c r="B33" s="1776" t="s">
        <v>972</v>
      </c>
      <c r="C33" s="2449">
        <v>4</v>
      </c>
      <c r="D33" s="2435">
        <v>18</v>
      </c>
      <c r="E33" s="2435">
        <v>18</v>
      </c>
      <c r="F33" s="2435">
        <v>37</v>
      </c>
      <c r="G33" s="2435">
        <v>32</v>
      </c>
      <c r="H33" s="2318">
        <v>6</v>
      </c>
      <c r="I33" s="3075">
        <v>1</v>
      </c>
    </row>
    <row r="34" spans="1:9" ht="26.25" customHeight="1">
      <c r="A34" s="4267" t="s">
        <v>279</v>
      </c>
      <c r="B34" s="1775" t="s">
        <v>957</v>
      </c>
      <c r="C34" s="2450">
        <v>0.97099999999999997</v>
      </c>
      <c r="D34" s="2451">
        <v>0.94399999999999995</v>
      </c>
      <c r="E34" s="2313">
        <v>0.9101123595505618</v>
      </c>
      <c r="F34" s="2313">
        <v>0.95099999999999996</v>
      </c>
      <c r="G34" s="2452">
        <v>0.95299999999999996</v>
      </c>
      <c r="H34" s="2453">
        <v>0.93979999999999997</v>
      </c>
      <c r="I34" s="3076">
        <f>(I44-I45)/I44</f>
        <v>0.9821428571428571</v>
      </c>
    </row>
    <row r="35" spans="1:9" ht="14.25" customHeight="1">
      <c r="A35" s="4267"/>
      <c r="B35" s="1773" t="s">
        <v>958</v>
      </c>
      <c r="C35" s="2454">
        <v>0</v>
      </c>
      <c r="D35" s="1260">
        <v>0</v>
      </c>
      <c r="E35" s="1260">
        <v>4.21</v>
      </c>
      <c r="F35" s="1260">
        <v>167.9</v>
      </c>
      <c r="G35" s="1265">
        <v>497.7</v>
      </c>
      <c r="H35" s="2455">
        <v>326.85700000000003</v>
      </c>
      <c r="I35" s="3083">
        <v>557.17399999999998</v>
      </c>
    </row>
    <row r="36" spans="1:9" ht="14.25" customHeight="1">
      <c r="A36" s="4267"/>
      <c r="B36" s="1773" t="s">
        <v>960</v>
      </c>
      <c r="C36" s="2454"/>
      <c r="D36" s="2428">
        <v>0</v>
      </c>
      <c r="E36" s="2428">
        <v>303.52999999999997</v>
      </c>
      <c r="F36" s="2428">
        <v>228.7</v>
      </c>
      <c r="G36" s="1265">
        <v>429.55</v>
      </c>
      <c r="H36" s="2455">
        <v>587.51</v>
      </c>
      <c r="I36" s="3083">
        <v>1246.7249999999999</v>
      </c>
    </row>
    <row r="37" spans="1:9" ht="14.25" customHeight="1">
      <c r="A37" s="4267"/>
      <c r="B37" s="1773" t="s">
        <v>961</v>
      </c>
      <c r="C37" s="2311" t="s">
        <v>959</v>
      </c>
      <c r="D37" s="2428">
        <v>561.63</v>
      </c>
      <c r="E37" s="2428">
        <v>87.46</v>
      </c>
      <c r="F37" s="2428">
        <v>308.99</v>
      </c>
      <c r="G37" s="1265">
        <v>661.61</v>
      </c>
      <c r="H37" s="2455">
        <v>598.12</v>
      </c>
      <c r="I37" s="3083">
        <f>829.712+241.734</f>
        <v>1071.4459999999999</v>
      </c>
    </row>
    <row r="38" spans="1:9" ht="14.25" customHeight="1">
      <c r="A38" s="4267"/>
      <c r="B38" s="1773" t="s">
        <v>962</v>
      </c>
      <c r="C38" s="2440">
        <v>146.49299999999999</v>
      </c>
      <c r="D38" s="2428">
        <v>72.36</v>
      </c>
      <c r="E38" s="2428">
        <v>255.059</v>
      </c>
      <c r="F38" s="2428">
        <v>99.04</v>
      </c>
      <c r="G38" s="1265">
        <v>318.54000000000002</v>
      </c>
      <c r="H38" s="2456">
        <v>147.30000000000001</v>
      </c>
      <c r="I38" s="3083">
        <v>321.7</v>
      </c>
    </row>
    <row r="39" spans="1:9" ht="26.45">
      <c r="A39" s="4267"/>
      <c r="B39" s="1773" t="s">
        <v>963</v>
      </c>
      <c r="C39" s="2311" t="s">
        <v>959</v>
      </c>
      <c r="D39" s="2309" t="s">
        <v>959</v>
      </c>
      <c r="E39" s="2309" t="s">
        <v>959</v>
      </c>
      <c r="F39" s="2309" t="s">
        <v>959</v>
      </c>
      <c r="G39" s="2309" t="s">
        <v>959</v>
      </c>
      <c r="H39" s="2309" t="s">
        <v>959</v>
      </c>
      <c r="I39" s="3077" t="s">
        <v>959</v>
      </c>
    </row>
    <row r="40" spans="1:9" ht="14.25" customHeight="1">
      <c r="A40" s="4267"/>
      <c r="B40" s="1773" t="s">
        <v>964</v>
      </c>
      <c r="C40" s="2440">
        <v>711.68</v>
      </c>
      <c r="D40" s="2428">
        <v>683.17</v>
      </c>
      <c r="E40" s="2428">
        <v>451.47</v>
      </c>
      <c r="F40" s="2428">
        <v>465.92</v>
      </c>
      <c r="G40" s="2322">
        <v>692.07500000000005</v>
      </c>
      <c r="H40" s="2457">
        <v>644.6</v>
      </c>
      <c r="I40" s="3083">
        <v>582.9</v>
      </c>
    </row>
    <row r="41" spans="1:9" ht="14.25" customHeight="1">
      <c r="A41" s="4267"/>
      <c r="B41" s="1773" t="s">
        <v>965</v>
      </c>
      <c r="C41" s="2440"/>
      <c r="D41" s="2428"/>
      <c r="E41" s="2428"/>
      <c r="F41" s="2428"/>
      <c r="G41" s="2322"/>
      <c r="H41" s="2457"/>
      <c r="I41" s="3083">
        <f>69159/1000</f>
        <v>69.159000000000006</v>
      </c>
    </row>
    <row r="42" spans="1:9" ht="19.5" customHeight="1">
      <c r="A42" s="4267"/>
      <c r="B42" s="1773" t="s">
        <v>966</v>
      </c>
      <c r="C42" s="2311" t="s">
        <v>959</v>
      </c>
      <c r="D42" s="2309" t="s">
        <v>959</v>
      </c>
      <c r="E42" s="2309" t="s">
        <v>959</v>
      </c>
      <c r="F42" s="2309" t="s">
        <v>959</v>
      </c>
      <c r="G42" s="2309" t="s">
        <v>959</v>
      </c>
      <c r="H42" s="3029" t="s">
        <v>959</v>
      </c>
      <c r="I42" s="3078" t="s">
        <v>959</v>
      </c>
    </row>
    <row r="43" spans="1:9" ht="15" customHeight="1">
      <c r="A43" s="4267"/>
      <c r="B43" s="1773" t="s">
        <v>967</v>
      </c>
      <c r="C43" s="2440">
        <v>1352.787</v>
      </c>
      <c r="D43" s="1261">
        <v>1642.0050000000001</v>
      </c>
      <c r="E43" s="1261">
        <v>634.24800000000005</v>
      </c>
      <c r="F43" s="1261">
        <v>859.81399999999996</v>
      </c>
      <c r="G43" s="2322">
        <v>1093.3920000000001</v>
      </c>
      <c r="H43" s="2458">
        <v>1267.7</v>
      </c>
      <c r="I43" s="3079">
        <v>1140.3</v>
      </c>
    </row>
    <row r="44" spans="1:9" ht="15" customHeight="1">
      <c r="A44" s="4267"/>
      <c r="B44" s="1774" t="s">
        <v>968</v>
      </c>
      <c r="C44" s="2459">
        <v>138</v>
      </c>
      <c r="D44" s="1261">
        <v>125</v>
      </c>
      <c r="E44" s="1261">
        <v>89</v>
      </c>
      <c r="F44" s="1261">
        <v>123</v>
      </c>
      <c r="G44" s="1261">
        <v>171</v>
      </c>
      <c r="H44" s="2460">
        <v>133</v>
      </c>
      <c r="I44" s="3079">
        <v>224</v>
      </c>
    </row>
    <row r="45" spans="1:9" ht="15" customHeight="1">
      <c r="A45" s="4267"/>
      <c r="B45" s="1773" t="s">
        <v>969</v>
      </c>
      <c r="C45" s="2430">
        <v>4</v>
      </c>
      <c r="D45" s="1261">
        <v>7</v>
      </c>
      <c r="E45" s="1261">
        <v>8</v>
      </c>
      <c r="F45" s="1261">
        <v>6</v>
      </c>
      <c r="G45" s="1261">
        <v>8</v>
      </c>
      <c r="H45" s="2460">
        <v>8</v>
      </c>
      <c r="I45" s="3079">
        <v>4</v>
      </c>
    </row>
    <row r="46" spans="1:9" ht="15" customHeight="1">
      <c r="A46" s="4267"/>
      <c r="B46" s="1773" t="s">
        <v>970</v>
      </c>
      <c r="C46" s="2433">
        <v>0.97199999999999998</v>
      </c>
      <c r="D46" s="1096">
        <v>1</v>
      </c>
      <c r="E46" s="1096">
        <v>1</v>
      </c>
      <c r="F46" s="1096">
        <v>1</v>
      </c>
      <c r="G46" s="1096">
        <v>1</v>
      </c>
      <c r="H46" s="2461">
        <v>1</v>
      </c>
      <c r="I46" s="3080">
        <f>(I47-I48)/I47</f>
        <v>1</v>
      </c>
    </row>
    <row r="47" spans="1:9" ht="15" customHeight="1">
      <c r="A47" s="4267"/>
      <c r="B47" s="1773" t="s">
        <v>971</v>
      </c>
      <c r="C47" s="2430">
        <v>36</v>
      </c>
      <c r="D47" s="1260">
        <v>34</v>
      </c>
      <c r="E47" s="1260">
        <v>17</v>
      </c>
      <c r="F47" s="1260">
        <v>0</v>
      </c>
      <c r="G47" s="1260">
        <v>31</v>
      </c>
      <c r="H47" s="2462">
        <v>28</v>
      </c>
      <c r="I47" s="3081">
        <v>28</v>
      </c>
    </row>
    <row r="48" spans="1:9" ht="15" customHeight="1" thickBot="1">
      <c r="A48" s="4271"/>
      <c r="B48" s="1776" t="s">
        <v>972</v>
      </c>
      <c r="C48" s="2434">
        <v>1</v>
      </c>
      <c r="D48" s="2435">
        <v>0</v>
      </c>
      <c r="E48" s="2435">
        <v>0</v>
      </c>
      <c r="F48" s="2463">
        <v>0</v>
      </c>
      <c r="G48" s="2464">
        <v>0</v>
      </c>
      <c r="H48" s="2465">
        <v>0</v>
      </c>
      <c r="I48" s="3082">
        <v>0</v>
      </c>
    </row>
    <row r="49" spans="1:12" ht="27" thickTop="1">
      <c r="A49" s="4264" t="s">
        <v>183</v>
      </c>
      <c r="B49" s="1777" t="s">
        <v>957</v>
      </c>
      <c r="C49" s="2466">
        <f>AVERAGE(C4,C19,C34)</f>
        <v>0.91168509984639012</v>
      </c>
      <c r="D49" s="2467">
        <f>AVERAGE(D34,D19,D4)</f>
        <v>0.93859829059829059</v>
      </c>
      <c r="E49" s="2467">
        <f>AVERAGE(E34,E19,E4)</f>
        <v>0.89860888175494902</v>
      </c>
      <c r="F49" s="2467">
        <f>AVERAGE(F34,F19,F4)</f>
        <v>0.92023333333333335</v>
      </c>
      <c r="G49" s="2468">
        <v>0.96699999999999997</v>
      </c>
      <c r="H49" s="2469">
        <f>AVERAGE(H4,H19,H34)</f>
        <v>0.9482666666666667</v>
      </c>
      <c r="I49" s="2470">
        <f>AVERAGE(I4,I19,I34)</f>
        <v>0.99071428571428566</v>
      </c>
      <c r="J49" s="897"/>
      <c r="K49" s="897"/>
      <c r="L49" s="897"/>
    </row>
    <row r="50" spans="1:12" ht="14.25" customHeight="1">
      <c r="A50" s="4264"/>
      <c r="B50" s="1773" t="s">
        <v>958</v>
      </c>
      <c r="C50" s="2471">
        <f t="shared" ref="C50:I52" si="0">SUM(C5,C20,C35)</f>
        <v>321.18700000000001</v>
      </c>
      <c r="D50" s="2472">
        <f t="shared" si="0"/>
        <v>0</v>
      </c>
      <c r="E50" s="2473">
        <f t="shared" si="0"/>
        <v>15.239999999999998</v>
      </c>
      <c r="F50" s="2473">
        <f t="shared" si="0"/>
        <v>170.12100000000001</v>
      </c>
      <c r="G50" s="2473">
        <f t="shared" si="0"/>
        <v>523.08299999999997</v>
      </c>
      <c r="H50" s="2473">
        <f t="shared" si="0"/>
        <v>344.70300000000003</v>
      </c>
      <c r="I50" s="2474">
        <f t="shared" si="0"/>
        <v>577.41099999999994</v>
      </c>
    </row>
    <row r="51" spans="1:12" ht="14.25" customHeight="1">
      <c r="A51" s="4264"/>
      <c r="B51" s="1773" t="s">
        <v>978</v>
      </c>
      <c r="C51" s="2471">
        <f t="shared" si="0"/>
        <v>0</v>
      </c>
      <c r="D51" s="2472">
        <f t="shared" si="0"/>
        <v>135</v>
      </c>
      <c r="E51" s="2473">
        <f t="shared" si="0"/>
        <v>594.27099999999996</v>
      </c>
      <c r="F51" s="2473">
        <f t="shared" si="0"/>
        <v>1139.867</v>
      </c>
      <c r="G51" s="2473">
        <f t="shared" si="0"/>
        <v>2025.4579999999999</v>
      </c>
      <c r="H51" s="2473">
        <f t="shared" si="0"/>
        <v>2050.11</v>
      </c>
      <c r="I51" s="2474">
        <f t="shared" si="0"/>
        <v>3406.181</v>
      </c>
    </row>
    <row r="52" spans="1:12" ht="14.25" customHeight="1">
      <c r="A52" s="4264"/>
      <c r="B52" s="1773" t="s">
        <v>961</v>
      </c>
      <c r="C52" s="2471">
        <f t="shared" si="0"/>
        <v>0</v>
      </c>
      <c r="D52" s="2475">
        <f t="shared" si="0"/>
        <v>659.81600000000003</v>
      </c>
      <c r="E52" s="2473">
        <f t="shared" si="0"/>
        <v>469.08199999999999</v>
      </c>
      <c r="F52" s="2473">
        <f t="shared" si="0"/>
        <v>309.67099999999999</v>
      </c>
      <c r="G52" s="2473">
        <f t="shared" si="0"/>
        <v>676.95</v>
      </c>
      <c r="H52" s="2473">
        <f t="shared" si="0"/>
        <v>599.02</v>
      </c>
      <c r="I52" s="2474">
        <f t="shared" si="0"/>
        <v>1072.9259999999999</v>
      </c>
    </row>
    <row r="53" spans="1:12" ht="14.25" customHeight="1">
      <c r="A53" s="4264"/>
      <c r="B53" s="1773" t="s">
        <v>962</v>
      </c>
      <c r="C53" s="2476">
        <f t="shared" ref="C53:I53" si="1">SUM(C8,C38,C23)</f>
        <v>274.98378600000001</v>
      </c>
      <c r="D53" s="2475">
        <f t="shared" si="1"/>
        <v>80.968800000000002</v>
      </c>
      <c r="E53" s="2477">
        <f t="shared" si="1"/>
        <v>432.456614</v>
      </c>
      <c r="F53" s="2477">
        <f t="shared" si="1"/>
        <v>269.24</v>
      </c>
      <c r="G53" s="2477">
        <f t="shared" si="1"/>
        <v>585.31999999999994</v>
      </c>
      <c r="H53" s="2477">
        <f t="shared" si="1"/>
        <v>261.53700000000003</v>
      </c>
      <c r="I53" s="2478">
        <f t="shared" si="1"/>
        <v>544.428</v>
      </c>
    </row>
    <row r="54" spans="1:12" ht="26.45">
      <c r="A54" s="4264"/>
      <c r="B54" s="1773" t="s">
        <v>963</v>
      </c>
      <c r="C54" s="2261" t="s">
        <v>979</v>
      </c>
      <c r="D54" s="2479" t="s">
        <v>979</v>
      </c>
      <c r="E54" s="2480" t="s">
        <v>979</v>
      </c>
      <c r="F54" s="2480" t="s">
        <v>979</v>
      </c>
      <c r="G54" s="2262" t="s">
        <v>979</v>
      </c>
      <c r="H54" s="2262" t="s">
        <v>979</v>
      </c>
      <c r="I54" s="2479" t="s">
        <v>979</v>
      </c>
    </row>
    <row r="55" spans="1:12" ht="14.25" customHeight="1">
      <c r="A55" s="4264"/>
      <c r="B55" s="1773" t="s">
        <v>964</v>
      </c>
      <c r="C55" s="2261" t="s">
        <v>979</v>
      </c>
      <c r="D55" s="2479" t="s">
        <v>979</v>
      </c>
      <c r="E55" s="2477">
        <f>SUM(E10,E40,E25)</f>
        <v>1092.825</v>
      </c>
      <c r="F55" s="2477">
        <f>SUM(F10,F40,F25)</f>
        <v>1029.58</v>
      </c>
      <c r="G55" s="2477">
        <f>SUM(G10,G40,G25)</f>
        <v>1524.298</v>
      </c>
      <c r="H55" s="2481">
        <f>SUM(H10,H40,H25)</f>
        <v>1367.6</v>
      </c>
      <c r="I55" s="2482">
        <f>SUM(I10,I40,I25)</f>
        <v>1326.1</v>
      </c>
    </row>
    <row r="56" spans="1:12" ht="14.25" customHeight="1">
      <c r="A56" s="4264"/>
      <c r="B56" s="1773" t="s">
        <v>965</v>
      </c>
      <c r="C56" s="2261"/>
      <c r="D56" s="2479"/>
      <c r="E56" s="2477"/>
      <c r="F56" s="2477"/>
      <c r="G56" s="2477"/>
      <c r="H56" s="2481"/>
      <c r="I56" s="2479" t="s">
        <v>979</v>
      </c>
    </row>
    <row r="57" spans="1:12" ht="14.25" customHeight="1">
      <c r="A57" s="4264"/>
      <c r="B57" s="1773" t="s">
        <v>966</v>
      </c>
      <c r="C57" s="2261" t="s">
        <v>979</v>
      </c>
      <c r="D57" s="2479" t="s">
        <v>979</v>
      </c>
      <c r="E57" s="2262" t="s">
        <v>979</v>
      </c>
      <c r="F57" s="2262" t="s">
        <v>979</v>
      </c>
      <c r="G57" s="2262" t="s">
        <v>979</v>
      </c>
      <c r="H57" s="2262" t="s">
        <v>979</v>
      </c>
      <c r="I57" s="2479" t="s">
        <v>979</v>
      </c>
    </row>
    <row r="58" spans="1:12" ht="14.25" customHeight="1">
      <c r="A58" s="4264"/>
      <c r="B58" s="1773" t="s">
        <v>967</v>
      </c>
      <c r="C58" s="2261" t="s">
        <v>979</v>
      </c>
      <c r="D58" s="2479" t="s">
        <v>979</v>
      </c>
      <c r="E58" s="2483">
        <f>SUM(E13,E43,E28)</f>
        <v>980.90599999999995</v>
      </c>
      <c r="F58" s="2262" t="s">
        <v>979</v>
      </c>
      <c r="G58" s="2262" t="s">
        <v>979</v>
      </c>
      <c r="H58" s="2262" t="s">
        <v>979</v>
      </c>
      <c r="I58" s="2479" t="s">
        <v>979</v>
      </c>
    </row>
    <row r="59" spans="1:12" ht="14.25" customHeight="1">
      <c r="A59" s="4264"/>
      <c r="B59" s="1773" t="s">
        <v>968</v>
      </c>
      <c r="C59" s="2256">
        <f t="shared" ref="C59:I60" si="2">SUM(C14,C29,C44)</f>
        <v>235</v>
      </c>
      <c r="D59" s="2095">
        <f t="shared" si="2"/>
        <v>211</v>
      </c>
      <c r="E59" s="2259">
        <f t="shared" si="2"/>
        <v>354</v>
      </c>
      <c r="F59" s="2259">
        <f t="shared" si="2"/>
        <v>171</v>
      </c>
      <c r="G59" s="2259">
        <f t="shared" si="2"/>
        <v>315</v>
      </c>
      <c r="H59" s="2095">
        <f t="shared" si="2"/>
        <v>356</v>
      </c>
      <c r="I59" s="2095">
        <f t="shared" si="2"/>
        <v>333</v>
      </c>
    </row>
    <row r="60" spans="1:12" ht="14.25" customHeight="1">
      <c r="A60" s="4264"/>
      <c r="B60" s="1773" t="s">
        <v>969</v>
      </c>
      <c r="C60" s="2256">
        <f t="shared" si="2"/>
        <v>14</v>
      </c>
      <c r="D60" s="2095">
        <f t="shared" si="2"/>
        <v>12</v>
      </c>
      <c r="E60" s="2259">
        <f t="shared" si="2"/>
        <v>44</v>
      </c>
      <c r="F60" s="2259">
        <f t="shared" si="2"/>
        <v>7</v>
      </c>
      <c r="G60" s="2259">
        <f t="shared" si="2"/>
        <v>16</v>
      </c>
      <c r="H60" s="2095">
        <f t="shared" si="2"/>
        <v>16</v>
      </c>
      <c r="I60" s="2095">
        <f t="shared" si="2"/>
        <v>5</v>
      </c>
    </row>
    <row r="61" spans="1:12" ht="14.25" customHeight="1">
      <c r="A61" s="4264"/>
      <c r="B61" s="1773" t="s">
        <v>970</v>
      </c>
      <c r="C61" s="2484">
        <f>AVERAGE(C46,C31,C16)</f>
        <v>0.8706666666666667</v>
      </c>
      <c r="D61" s="2485">
        <f>AVERAGE(D46,D31,D16)</f>
        <v>0.83933333333333326</v>
      </c>
      <c r="E61" s="2486">
        <v>0.88</v>
      </c>
      <c r="F61" s="2486">
        <v>0.85599999999999998</v>
      </c>
      <c r="G61" s="2486">
        <v>0.95599999999999996</v>
      </c>
      <c r="H61" s="2485">
        <v>0.92359999999999998</v>
      </c>
      <c r="I61" s="2485">
        <v>0.92359999999999998</v>
      </c>
      <c r="J61" s="218"/>
      <c r="K61" s="218"/>
      <c r="L61" s="218"/>
    </row>
    <row r="62" spans="1:12" ht="14.25" customHeight="1">
      <c r="A62" s="4264"/>
      <c r="B62" s="1773" t="s">
        <v>971</v>
      </c>
      <c r="C62" s="2095">
        <f t="shared" ref="C62:I63" si="3">SUM(C17,C32,C47)</f>
        <v>109</v>
      </c>
      <c r="D62" s="2259">
        <f t="shared" si="3"/>
        <v>163</v>
      </c>
      <c r="E62" s="2259">
        <f t="shared" si="3"/>
        <v>236</v>
      </c>
      <c r="F62" s="2259">
        <f t="shared" si="3"/>
        <v>232</v>
      </c>
      <c r="G62" s="2259">
        <f t="shared" si="3"/>
        <v>258</v>
      </c>
      <c r="H62" s="2095">
        <f t="shared" si="3"/>
        <v>144</v>
      </c>
      <c r="I62" s="2095">
        <f t="shared" si="3"/>
        <v>84</v>
      </c>
    </row>
    <row r="63" spans="1:12" ht="14.25" customHeight="1">
      <c r="A63" s="4264"/>
      <c r="B63" s="1773" t="s">
        <v>972</v>
      </c>
      <c r="C63" s="2095">
        <f t="shared" si="3"/>
        <v>13</v>
      </c>
      <c r="D63" s="2259">
        <f t="shared" si="3"/>
        <v>27</v>
      </c>
      <c r="E63" s="2259">
        <f t="shared" si="3"/>
        <v>23</v>
      </c>
      <c r="F63" s="2259">
        <f t="shared" si="3"/>
        <v>37</v>
      </c>
      <c r="G63" s="2259">
        <f t="shared" si="3"/>
        <v>33</v>
      </c>
      <c r="H63" s="2095">
        <f t="shared" si="3"/>
        <v>11</v>
      </c>
      <c r="I63" s="2095">
        <f t="shared" si="3"/>
        <v>4</v>
      </c>
      <c r="J63" s="218"/>
    </row>
    <row r="64" spans="1:12">
      <c r="F64" s="899"/>
    </row>
    <row r="65" spans="4:6">
      <c r="F65" s="898"/>
    </row>
    <row r="66" spans="4:6">
      <c r="D66" s="219"/>
      <c r="E66" s="220"/>
      <c r="F66" s="220"/>
    </row>
  </sheetData>
  <mergeCells count="5">
    <mergeCell ref="A49:A63"/>
    <mergeCell ref="C20:C22"/>
    <mergeCell ref="A4:A18"/>
    <mergeCell ref="A19:A33"/>
    <mergeCell ref="A34:A48"/>
  </mergeCells>
  <pageMargins left="0.7" right="0.7" top="0.75" bottom="0.75" header="0.3" footer="0.3"/>
  <pageSetup paperSize="9" scale="51" fitToHeight="0" orientation="landscape" horizontalDpi="4294967293" r:id="rId1"/>
  <headerFooter>
    <oddHeader>&amp;L&amp;"Arial,Regular"&amp;9M.A.G CSR Data Reporting Spreadsheet
&amp;R&amp;G</oddHeader>
    <oddFooter>&amp;C&amp;"Arial,Regular"&amp;9
Produced by Simply Sustainable Ltd_x000D_&amp;1#&amp;"Calibri"&amp;10&amp;K000000 C2 - Internal</oddFooter>
  </headerFooter>
  <rowBreaks count="2" manualBreakCount="2">
    <brk id="33" max="8" man="1"/>
    <brk id="48" max="8" man="1"/>
  </rowBreaks>
  <legacyDrawing r:id="rId2"/>
  <legacyDrawingHF r:id="rId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AF26-2A53-411B-89CD-48528EBD8E20}">
  <sheetPr codeName="Sheet29">
    <tabColor theme="0"/>
  </sheetPr>
  <dimension ref="B1:J23"/>
  <sheetViews>
    <sheetView showGridLines="0" topLeftCell="B1" zoomScaleNormal="100" workbookViewId="0">
      <selection activeCell="B1" sqref="B1"/>
    </sheetView>
  </sheetViews>
  <sheetFormatPr defaultColWidth="8.85546875" defaultRowHeight="13.9"/>
  <cols>
    <col min="1" max="1" width="4.140625" style="8" customWidth="1"/>
    <col min="2" max="2" width="21.7109375" style="8" customWidth="1"/>
    <col min="3" max="3" width="45.140625" style="8" customWidth="1"/>
    <col min="4" max="6" width="10.85546875" style="8" customWidth="1"/>
    <col min="7" max="10" width="10" style="8" bestFit="1" customWidth="1"/>
    <col min="11" max="16384" width="8.85546875" style="8"/>
  </cols>
  <sheetData>
    <row r="1" spans="2:10" ht="17.45">
      <c r="B1" s="10" t="s">
        <v>980</v>
      </c>
    </row>
    <row r="2" spans="2:10" ht="17.45">
      <c r="B2" s="10" t="s">
        <v>981</v>
      </c>
    </row>
    <row r="3" spans="2:10" ht="18" thickBot="1">
      <c r="B3" s="10"/>
      <c r="C3" s="136"/>
    </row>
    <row r="4" spans="2:10" ht="31.15" customHeight="1" thickBot="1">
      <c r="B4" s="1779"/>
      <c r="C4" s="2488" t="s">
        <v>982</v>
      </c>
      <c r="D4" s="2489">
        <v>2018</v>
      </c>
      <c r="E4" s="2490">
        <v>2019</v>
      </c>
      <c r="F4" s="2490">
        <v>2020</v>
      </c>
      <c r="G4" s="2491">
        <v>2021</v>
      </c>
      <c r="H4" s="2492">
        <v>2022</v>
      </c>
      <c r="I4" s="2492">
        <v>2023</v>
      </c>
      <c r="J4" s="2493">
        <v>2024</v>
      </c>
    </row>
    <row r="5" spans="2:10" ht="15.6">
      <c r="B5" s="4272" t="s">
        <v>274</v>
      </c>
      <c r="C5" s="2143" t="s">
        <v>983</v>
      </c>
      <c r="D5" s="2141">
        <v>15</v>
      </c>
      <c r="E5" s="2141">
        <v>13.9</v>
      </c>
      <c r="F5" s="2141">
        <v>10.199999999999999</v>
      </c>
      <c r="G5" s="2141">
        <v>11.3</v>
      </c>
      <c r="H5" s="2141">
        <v>12.3</v>
      </c>
      <c r="I5" s="2141">
        <v>10.4</v>
      </c>
      <c r="J5" s="2892">
        <v>10.199999999999999</v>
      </c>
    </row>
    <row r="6" spans="2:10" ht="15.6">
      <c r="B6" s="4273"/>
      <c r="C6" s="2144" t="s">
        <v>984</v>
      </c>
      <c r="D6" s="2142">
        <v>14</v>
      </c>
      <c r="E6" s="2142">
        <v>13.2</v>
      </c>
      <c r="F6" s="2142">
        <v>11.5</v>
      </c>
      <c r="G6" s="2142">
        <v>11.6</v>
      </c>
      <c r="H6" s="2142">
        <v>13.2</v>
      </c>
      <c r="I6" s="2142">
        <v>11.2</v>
      </c>
      <c r="J6" s="2893">
        <v>11.4</v>
      </c>
    </row>
    <row r="7" spans="2:10">
      <c r="B7" s="4273"/>
      <c r="C7" s="2144" t="s">
        <v>985</v>
      </c>
      <c r="D7" s="2142" t="s">
        <v>24</v>
      </c>
      <c r="E7" s="2142" t="s">
        <v>24</v>
      </c>
      <c r="F7" s="2142" t="s">
        <v>24</v>
      </c>
      <c r="G7" s="2142">
        <v>7</v>
      </c>
      <c r="H7" s="2142">
        <v>7.8</v>
      </c>
      <c r="I7" s="2142">
        <v>6.9</v>
      </c>
      <c r="J7" s="2893">
        <v>7</v>
      </c>
    </row>
    <row r="8" spans="2:10" ht="14.45" thickBot="1">
      <c r="B8" s="4274"/>
      <c r="C8" s="2145" t="s">
        <v>986</v>
      </c>
      <c r="D8" s="2494">
        <v>0</v>
      </c>
      <c r="E8" s="2494">
        <v>0</v>
      </c>
      <c r="F8" s="2494">
        <v>0</v>
      </c>
      <c r="G8" s="2494">
        <v>0</v>
      </c>
      <c r="H8" s="2494">
        <v>0</v>
      </c>
      <c r="I8" s="2494">
        <v>0</v>
      </c>
      <c r="J8" s="2139">
        <v>0</v>
      </c>
    </row>
    <row r="9" spans="2:10" ht="15.6">
      <c r="B9" s="4273" t="s">
        <v>278</v>
      </c>
      <c r="C9" s="2146" t="s">
        <v>987</v>
      </c>
      <c r="D9" s="2141" t="s">
        <v>24</v>
      </c>
      <c r="E9" s="2141" t="s">
        <v>24</v>
      </c>
      <c r="F9" s="2141">
        <v>11</v>
      </c>
      <c r="G9" s="2141">
        <v>10</v>
      </c>
      <c r="H9" s="2141">
        <v>10</v>
      </c>
      <c r="I9" s="2141">
        <v>8</v>
      </c>
      <c r="J9" s="2892">
        <v>8</v>
      </c>
    </row>
    <row r="10" spans="2:10">
      <c r="B10" s="4278"/>
      <c r="C10" s="2147" t="s">
        <v>988</v>
      </c>
      <c r="D10" s="2142" t="s">
        <v>24</v>
      </c>
      <c r="E10" s="2142" t="s">
        <v>24</v>
      </c>
      <c r="F10" s="2142">
        <v>12</v>
      </c>
      <c r="G10" s="2142">
        <v>13</v>
      </c>
      <c r="H10" s="2142">
        <v>14</v>
      </c>
      <c r="I10" s="2142">
        <v>12</v>
      </c>
      <c r="J10" s="2893">
        <v>11</v>
      </c>
    </row>
    <row r="11" spans="2:10">
      <c r="B11" s="4278"/>
      <c r="C11" s="2147" t="s">
        <v>989</v>
      </c>
      <c r="D11" s="2142" t="s">
        <v>24</v>
      </c>
      <c r="E11" s="2142" t="s">
        <v>24</v>
      </c>
      <c r="F11" s="2142">
        <v>7</v>
      </c>
      <c r="G11" s="2142">
        <v>8</v>
      </c>
      <c r="H11" s="2142">
        <v>9</v>
      </c>
      <c r="I11" s="2142">
        <v>7</v>
      </c>
      <c r="J11" s="2893">
        <v>7</v>
      </c>
    </row>
    <row r="12" spans="2:10" ht="15.6">
      <c r="B12" s="4278"/>
      <c r="C12" s="2147" t="s">
        <v>990</v>
      </c>
      <c r="D12" s="2142">
        <v>17</v>
      </c>
      <c r="E12" s="2142">
        <v>16</v>
      </c>
      <c r="F12" s="2142">
        <v>11</v>
      </c>
      <c r="G12" s="2142">
        <v>10</v>
      </c>
      <c r="H12" s="2142">
        <v>12</v>
      </c>
      <c r="I12" s="2142">
        <v>11</v>
      </c>
      <c r="J12" s="2893">
        <v>12</v>
      </c>
    </row>
    <row r="13" spans="2:10">
      <c r="B13" s="4278"/>
      <c r="C13" s="2147" t="s">
        <v>991</v>
      </c>
      <c r="D13" s="2142">
        <v>13</v>
      </c>
      <c r="E13" s="2142">
        <v>13</v>
      </c>
      <c r="F13" s="2142">
        <v>11</v>
      </c>
      <c r="G13" s="2142">
        <v>11</v>
      </c>
      <c r="H13" s="2142">
        <v>12</v>
      </c>
      <c r="I13" s="2142">
        <v>10</v>
      </c>
      <c r="J13" s="2893">
        <v>11</v>
      </c>
    </row>
    <row r="14" spans="2:10">
      <c r="B14" s="4278"/>
      <c r="C14" s="2147" t="s">
        <v>992</v>
      </c>
      <c r="D14" s="2142">
        <v>9</v>
      </c>
      <c r="E14" s="2142">
        <v>9</v>
      </c>
      <c r="F14" s="2142">
        <v>7</v>
      </c>
      <c r="G14" s="2142">
        <v>7</v>
      </c>
      <c r="H14" s="2142">
        <v>8</v>
      </c>
      <c r="I14" s="2142">
        <v>7</v>
      </c>
      <c r="J14" s="2893">
        <v>7</v>
      </c>
    </row>
    <row r="15" spans="2:10" ht="15.6">
      <c r="B15" s="4278"/>
      <c r="C15" s="2147" t="s">
        <v>993</v>
      </c>
      <c r="D15" s="2142">
        <v>20</v>
      </c>
      <c r="E15" s="2142">
        <v>20</v>
      </c>
      <c r="F15" s="2142">
        <v>13</v>
      </c>
      <c r="G15" s="2142">
        <v>14</v>
      </c>
      <c r="H15" s="2142">
        <v>15</v>
      </c>
      <c r="I15" s="2142">
        <v>14</v>
      </c>
      <c r="J15" s="2893">
        <v>13</v>
      </c>
    </row>
    <row r="16" spans="2:10" ht="15.6">
      <c r="B16" s="4278"/>
      <c r="C16" s="2147" t="s">
        <v>994</v>
      </c>
      <c r="D16" s="2142">
        <v>15</v>
      </c>
      <c r="E16" s="2142">
        <v>16</v>
      </c>
      <c r="F16" s="2142">
        <v>14</v>
      </c>
      <c r="G16" s="2142">
        <v>14</v>
      </c>
      <c r="H16" s="2142">
        <v>15</v>
      </c>
      <c r="I16" s="2142">
        <v>14</v>
      </c>
      <c r="J16" s="2893">
        <v>12</v>
      </c>
    </row>
    <row r="17" spans="2:10">
      <c r="B17" s="4278"/>
      <c r="C17" s="2147" t="s">
        <v>995</v>
      </c>
      <c r="D17" s="2142">
        <v>9</v>
      </c>
      <c r="E17" s="2142">
        <v>10</v>
      </c>
      <c r="F17" s="2142">
        <v>8</v>
      </c>
      <c r="G17" s="2142">
        <v>8</v>
      </c>
      <c r="H17" s="2142">
        <v>8</v>
      </c>
      <c r="I17" s="2142">
        <v>8</v>
      </c>
      <c r="J17" s="2893">
        <v>7</v>
      </c>
    </row>
    <row r="18" spans="2:10" ht="14.45" thickBot="1">
      <c r="B18" s="4279"/>
      <c r="C18" s="2148" t="s">
        <v>986</v>
      </c>
      <c r="D18" s="2494">
        <v>0</v>
      </c>
      <c r="E18" s="2494">
        <v>0</v>
      </c>
      <c r="F18" s="2494">
        <v>0</v>
      </c>
      <c r="G18" s="2494">
        <v>0</v>
      </c>
      <c r="H18" s="2494">
        <v>0</v>
      </c>
      <c r="I18" s="2494">
        <v>0</v>
      </c>
      <c r="J18" s="2139">
        <v>0</v>
      </c>
    </row>
    <row r="19" spans="2:10" ht="15.6">
      <c r="B19" s="4275" t="s">
        <v>279</v>
      </c>
      <c r="C19" s="2149" t="s">
        <v>996</v>
      </c>
      <c r="D19" s="2141">
        <v>23.6</v>
      </c>
      <c r="E19" s="2141">
        <v>22.1</v>
      </c>
      <c r="F19" s="2141">
        <v>14.4</v>
      </c>
      <c r="G19" s="2141">
        <v>15.6</v>
      </c>
      <c r="H19" s="2141">
        <v>15.5</v>
      </c>
      <c r="I19" s="2141">
        <v>14.6</v>
      </c>
      <c r="J19" s="2892">
        <v>14.2</v>
      </c>
    </row>
    <row r="20" spans="2:10" ht="15.6">
      <c r="B20" s="4276"/>
      <c r="C20" s="2150" t="s">
        <v>997</v>
      </c>
      <c r="D20" s="2142">
        <v>14.4</v>
      </c>
      <c r="E20" s="2142">
        <v>14.4</v>
      </c>
      <c r="F20" s="2142">
        <v>11.9</v>
      </c>
      <c r="G20" s="2142">
        <v>12.3</v>
      </c>
      <c r="H20" s="2142">
        <v>12.6</v>
      </c>
      <c r="I20" s="2142">
        <v>10.8</v>
      </c>
      <c r="J20" s="2893">
        <v>10.7</v>
      </c>
    </row>
    <row r="21" spans="2:10" ht="15.6">
      <c r="B21" s="4276"/>
      <c r="C21" s="2150" t="s">
        <v>998</v>
      </c>
      <c r="D21" s="2142">
        <v>46.4</v>
      </c>
      <c r="E21" s="2142">
        <v>43.7</v>
      </c>
      <c r="F21" s="2142">
        <v>46.6</v>
      </c>
      <c r="G21" s="2142">
        <v>44.1</v>
      </c>
      <c r="H21" s="2142">
        <v>46.5</v>
      </c>
      <c r="I21" s="2142">
        <v>47.9</v>
      </c>
      <c r="J21" s="2893">
        <v>48.5</v>
      </c>
    </row>
    <row r="22" spans="2:10" ht="14.45" thickBot="1">
      <c r="B22" s="4277"/>
      <c r="C22" s="2148" t="s">
        <v>986</v>
      </c>
      <c r="D22" s="2494">
        <v>1</v>
      </c>
      <c r="E22" s="2494">
        <v>1</v>
      </c>
      <c r="F22" s="2494">
        <v>1</v>
      </c>
      <c r="G22" s="2494">
        <v>0</v>
      </c>
      <c r="H22" s="2494">
        <v>0</v>
      </c>
      <c r="I22" s="2494">
        <v>0</v>
      </c>
      <c r="J22" s="2139">
        <v>0</v>
      </c>
    </row>
    <row r="23" spans="2:10" ht="14.45" thickBot="1">
      <c r="B23" s="2487" t="s">
        <v>999</v>
      </c>
      <c r="C23" s="2151" t="s">
        <v>1000</v>
      </c>
      <c r="D23" s="2495">
        <f t="shared" ref="D23:E23" si="0">D8+D22+D18</f>
        <v>1</v>
      </c>
      <c r="E23" s="2495">
        <f t="shared" si="0"/>
        <v>1</v>
      </c>
      <c r="F23" s="2495">
        <f>F8+F22+F18</f>
        <v>1</v>
      </c>
      <c r="G23" s="2495">
        <f>G8+G18+G22</f>
        <v>0</v>
      </c>
      <c r="H23" s="2495">
        <f>H8+H18+H22</f>
        <v>0</v>
      </c>
      <c r="I23" s="2495">
        <f>I8+I18+I22</f>
        <v>0</v>
      </c>
      <c r="J23" s="2140">
        <v>0</v>
      </c>
    </row>
  </sheetData>
  <mergeCells count="3">
    <mergeCell ref="B5:B8"/>
    <mergeCell ref="B19:B22"/>
    <mergeCell ref="B9:B18"/>
  </mergeCells>
  <phoneticPr fontId="16" type="noConversion"/>
  <pageMargins left="0.25" right="0.25" top="0.75" bottom="0.75" header="0.3" footer="0.3"/>
  <pageSetup paperSize="8" orientation="landscape" r:id="rId1"/>
  <headerFooter>
    <oddFooter>&amp;C_x000D_&amp;1#&amp;"Calibri"&amp;10&amp;K000000 C2 - Internal</oddFooter>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F7839-E5E0-4FF5-86F8-DC02EFE516BF}">
  <sheetPr codeName="Sheet31">
    <tabColor theme="0"/>
    <pageSetUpPr fitToPage="1"/>
  </sheetPr>
  <dimension ref="A1:AM80"/>
  <sheetViews>
    <sheetView showGridLines="0" view="pageBreakPreview" zoomScaleNormal="100" zoomScaleSheetLayoutView="90" workbookViewId="0">
      <selection sqref="A1:G1"/>
    </sheetView>
  </sheetViews>
  <sheetFormatPr defaultColWidth="9.140625" defaultRowHeight="13.9"/>
  <cols>
    <col min="1" max="1" width="15.7109375" style="51" customWidth="1"/>
    <col min="2" max="2" width="60.42578125" style="50" customWidth="1"/>
    <col min="3" max="11" width="15.7109375" style="50" hidden="1" customWidth="1"/>
    <col min="12" max="12" width="15.7109375" style="213" hidden="1" customWidth="1"/>
    <col min="13" max="16" width="15.7109375" style="50" hidden="1" customWidth="1"/>
    <col min="17" max="17" width="15.7109375" style="213" hidden="1" customWidth="1"/>
    <col min="18" max="21" width="15.7109375" style="50" hidden="1" customWidth="1"/>
    <col min="22" max="22" width="15.7109375" style="213" hidden="1" customWidth="1"/>
    <col min="23" max="26" width="10.85546875" style="50" customWidth="1"/>
    <col min="27" max="27" width="10.85546875" style="213" customWidth="1"/>
    <col min="28" max="31" width="10.85546875" style="50" customWidth="1"/>
    <col min="32" max="32" width="10.85546875" style="213" customWidth="1"/>
    <col min="33" max="36" width="10.85546875" style="50" customWidth="1"/>
    <col min="37" max="37" width="10.85546875" style="213" customWidth="1"/>
    <col min="38" max="16384" width="9.140625" style="50"/>
  </cols>
  <sheetData>
    <row r="1" spans="1:37" ht="27.75" customHeight="1">
      <c r="A1" s="4325" t="s">
        <v>1001</v>
      </c>
      <c r="B1" s="4326"/>
      <c r="C1" s="4326"/>
      <c r="D1" s="4326"/>
      <c r="E1" s="4326"/>
      <c r="F1" s="4326"/>
      <c r="G1" s="4326"/>
    </row>
    <row r="2" spans="1:37" ht="27.75" customHeight="1" thickBot="1">
      <c r="A2" s="52" t="s">
        <v>533</v>
      </c>
    </row>
    <row r="3" spans="1:37" ht="15.75" customHeight="1" thickTop="1" thickBot="1">
      <c r="A3" s="2496"/>
      <c r="B3" s="2635"/>
      <c r="C3" s="4340" t="s">
        <v>12</v>
      </c>
      <c r="D3" s="4341"/>
      <c r="E3" s="4341"/>
      <c r="F3" s="4341"/>
      <c r="G3" s="4341"/>
      <c r="H3" s="4342" t="s">
        <v>13</v>
      </c>
      <c r="I3" s="4341"/>
      <c r="J3" s="4341"/>
      <c r="K3" s="4341"/>
      <c r="L3" s="4341"/>
      <c r="M3" s="4343" t="s">
        <v>14</v>
      </c>
      <c r="N3" s="4344"/>
      <c r="O3" s="4344"/>
      <c r="P3" s="4344"/>
      <c r="Q3" s="4345"/>
      <c r="R3" s="4343" t="s">
        <v>15</v>
      </c>
      <c r="S3" s="4344"/>
      <c r="T3" s="4344"/>
      <c r="U3" s="4344"/>
      <c r="V3" s="4345"/>
      <c r="W3" s="4343" t="s">
        <v>16</v>
      </c>
      <c r="X3" s="4344"/>
      <c r="Y3" s="4344"/>
      <c r="Z3" s="4344"/>
      <c r="AA3" s="4345"/>
      <c r="AB3" s="4343" t="s">
        <v>163</v>
      </c>
      <c r="AC3" s="4344"/>
      <c r="AD3" s="4344"/>
      <c r="AE3" s="4344"/>
      <c r="AF3" s="4345"/>
      <c r="AG3" s="4343" t="s">
        <v>164</v>
      </c>
      <c r="AH3" s="4344"/>
      <c r="AI3" s="4344"/>
      <c r="AJ3" s="4344"/>
      <c r="AK3" s="4345"/>
    </row>
    <row r="4" spans="1:37" ht="14.25" customHeight="1" thickTop="1">
      <c r="A4" s="4368" t="s">
        <v>274</v>
      </c>
      <c r="B4" s="2497" t="s">
        <v>1002</v>
      </c>
      <c r="C4" s="4333" t="s">
        <v>252</v>
      </c>
      <c r="D4" s="4333"/>
      <c r="E4" s="4333"/>
      <c r="F4" s="4333"/>
      <c r="G4" s="4334"/>
      <c r="H4" s="4339" t="s">
        <v>252</v>
      </c>
      <c r="I4" s="4339"/>
      <c r="J4" s="4339"/>
      <c r="K4" s="4339"/>
      <c r="L4" s="4339"/>
      <c r="M4" s="4286">
        <v>143.19999999999999</v>
      </c>
      <c r="N4" s="4287"/>
      <c r="O4" s="4287"/>
      <c r="P4" s="4287"/>
      <c r="Q4" s="4288"/>
      <c r="R4" s="4286">
        <v>145.5</v>
      </c>
      <c r="S4" s="4287"/>
      <c r="T4" s="4287"/>
      <c r="U4" s="4287"/>
      <c r="V4" s="4288"/>
      <c r="W4" s="4286">
        <v>324.52999999999997</v>
      </c>
      <c r="X4" s="4287"/>
      <c r="Y4" s="4287"/>
      <c r="Z4" s="4287"/>
      <c r="AA4" s="4288"/>
      <c r="AB4" s="4286">
        <v>310.8</v>
      </c>
      <c r="AC4" s="4287"/>
      <c r="AD4" s="4287"/>
      <c r="AE4" s="4287"/>
      <c r="AF4" s="4288"/>
      <c r="AG4" s="4286">
        <f>SUM(AK27:AK32)</f>
        <v>303.14</v>
      </c>
      <c r="AH4" s="4287"/>
      <c r="AI4" s="4287"/>
      <c r="AJ4" s="4287"/>
      <c r="AK4" s="4288"/>
    </row>
    <row r="5" spans="1:37" ht="14.25" customHeight="1">
      <c r="A5" s="4369"/>
      <c r="B5" s="2324" t="s">
        <v>1003</v>
      </c>
      <c r="C5" s="4335" t="s">
        <v>252</v>
      </c>
      <c r="D5" s="4335"/>
      <c r="E5" s="4335"/>
      <c r="F5" s="4335"/>
      <c r="G5" s="4336"/>
      <c r="H5" s="4290" t="s">
        <v>252</v>
      </c>
      <c r="I5" s="4290"/>
      <c r="J5" s="4290"/>
      <c r="K5" s="4290"/>
      <c r="L5" s="4290"/>
      <c r="M5" s="4289">
        <v>0.96030042918454928</v>
      </c>
      <c r="N5" s="4290"/>
      <c r="O5" s="4290"/>
      <c r="P5" s="4290"/>
      <c r="Q5" s="4291"/>
      <c r="R5" s="4289">
        <v>0.63</v>
      </c>
      <c r="S5" s="4290"/>
      <c r="T5" s="4290"/>
      <c r="U5" s="4290"/>
      <c r="V5" s="4291"/>
      <c r="W5" s="4289">
        <v>0.6502</v>
      </c>
      <c r="X5" s="4290"/>
      <c r="Y5" s="4290"/>
      <c r="Z5" s="4290"/>
      <c r="AA5" s="4291"/>
      <c r="AB5" s="4289">
        <f>AF39/AF38</f>
        <v>0.56769210538811921</v>
      </c>
      <c r="AC5" s="4290"/>
      <c r="AD5" s="4290"/>
      <c r="AE5" s="4290"/>
      <c r="AF5" s="4291"/>
      <c r="AG5" s="4289">
        <f>AK39/AK38</f>
        <v>0.5409446992273238</v>
      </c>
      <c r="AH5" s="4290"/>
      <c r="AI5" s="4290"/>
      <c r="AJ5" s="4290"/>
      <c r="AK5" s="4291"/>
    </row>
    <row r="6" spans="1:37" ht="14.25" customHeight="1">
      <c r="A6" s="4369"/>
      <c r="B6" s="2324" t="s">
        <v>1004</v>
      </c>
      <c r="C6" s="4346" t="s">
        <v>252</v>
      </c>
      <c r="D6" s="4346"/>
      <c r="E6" s="4346"/>
      <c r="F6" s="4346"/>
      <c r="G6" s="4347"/>
      <c r="H6" s="4293" t="s">
        <v>252</v>
      </c>
      <c r="I6" s="4293"/>
      <c r="J6" s="4293"/>
      <c r="K6" s="4293"/>
      <c r="L6" s="4293"/>
      <c r="M6" s="4292">
        <v>42.5</v>
      </c>
      <c r="N6" s="4293"/>
      <c r="O6" s="4293"/>
      <c r="P6" s="4293"/>
      <c r="Q6" s="4294"/>
      <c r="R6" s="4292">
        <v>77.400000000000006</v>
      </c>
      <c r="S6" s="4293"/>
      <c r="T6" s="4293"/>
      <c r="U6" s="4293"/>
      <c r="V6" s="4294"/>
      <c r="W6" s="4292">
        <v>87.3</v>
      </c>
      <c r="X6" s="4293"/>
      <c r="Y6" s="4293"/>
      <c r="Z6" s="4293"/>
      <c r="AA6" s="4294"/>
      <c r="AB6" s="4292">
        <v>74.599999999999994</v>
      </c>
      <c r="AC6" s="4293"/>
      <c r="AD6" s="4293"/>
      <c r="AE6" s="4293"/>
      <c r="AF6" s="4294"/>
      <c r="AG6" s="4292">
        <f>AK28</f>
        <v>81.37</v>
      </c>
      <c r="AH6" s="4293"/>
      <c r="AI6" s="4293"/>
      <c r="AJ6" s="4293"/>
      <c r="AK6" s="4294"/>
    </row>
    <row r="7" spans="1:37" ht="15" customHeight="1">
      <c r="A7" s="4369"/>
      <c r="B7" s="2324" t="s">
        <v>1005</v>
      </c>
      <c r="C7" s="4335" t="s">
        <v>252</v>
      </c>
      <c r="D7" s="4335"/>
      <c r="E7" s="4335"/>
      <c r="F7" s="4335"/>
      <c r="G7" s="4336"/>
      <c r="H7" s="4290" t="s">
        <v>252</v>
      </c>
      <c r="I7" s="4290"/>
      <c r="J7" s="4290"/>
      <c r="K7" s="4290"/>
      <c r="L7" s="4290"/>
      <c r="M7" s="4289">
        <v>0.28500536480686695</v>
      </c>
      <c r="N7" s="4290"/>
      <c r="O7" s="4290"/>
      <c r="P7" s="4290"/>
      <c r="Q7" s="4291"/>
      <c r="R7" s="4289">
        <f>V28/V38</f>
        <v>0.27380147856894188</v>
      </c>
      <c r="S7" s="4290"/>
      <c r="T7" s="4290"/>
      <c r="U7" s="4290"/>
      <c r="V7" s="4291"/>
      <c r="W7" s="4289">
        <f>AA28/AA38</f>
        <v>0.16793305761277294</v>
      </c>
      <c r="X7" s="4290"/>
      <c r="Y7" s="4290"/>
      <c r="Z7" s="4290"/>
      <c r="AA7" s="4291"/>
      <c r="AB7" s="4289">
        <f>AF28/AF38</f>
        <v>0.13627912583236235</v>
      </c>
      <c r="AC7" s="4290"/>
      <c r="AD7" s="4290"/>
      <c r="AE7" s="4290"/>
      <c r="AF7" s="4291"/>
      <c r="AG7" s="4289">
        <f>AK28/AK38</f>
        <v>0.14520244829493748</v>
      </c>
      <c r="AH7" s="4290"/>
      <c r="AI7" s="4290"/>
      <c r="AJ7" s="4290"/>
      <c r="AK7" s="4291"/>
    </row>
    <row r="8" spans="1:37" ht="15" customHeight="1" thickBot="1">
      <c r="A8" s="4370"/>
      <c r="B8" s="2323" t="s">
        <v>1006</v>
      </c>
      <c r="C8" s="2498"/>
      <c r="D8" s="2498"/>
      <c r="E8" s="2498"/>
      <c r="F8" s="2499"/>
      <c r="G8" s="2500"/>
      <c r="H8" s="4400"/>
      <c r="I8" s="4400"/>
      <c r="J8" s="4400"/>
      <c r="K8" s="4400"/>
      <c r="L8" s="4400"/>
      <c r="M8" s="4383">
        <f t="shared" ref="M8" si="0">SUM(Q27:Q34,Q36:Q37)/Q38</f>
        <v>0.96042924211938296</v>
      </c>
      <c r="N8" s="4384"/>
      <c r="O8" s="4384"/>
      <c r="P8" s="4384"/>
      <c r="Q8" s="4385"/>
      <c r="R8" s="4383">
        <f t="shared" ref="R8" si="1">SUM(V27:V34,V36:V37)/V38</f>
        <v>0.63899981569085218</v>
      </c>
      <c r="S8" s="4384"/>
      <c r="T8" s="4384"/>
      <c r="U8" s="4384"/>
      <c r="V8" s="4385"/>
      <c r="W8" s="4295">
        <f>SUM(AA27:AA34,AA36:AA37)/AA38</f>
        <v>0.66432624795614126</v>
      </c>
      <c r="X8" s="4296"/>
      <c r="Y8" s="4296"/>
      <c r="Z8" s="4296"/>
      <c r="AA8" s="4297"/>
      <c r="AB8" s="4295">
        <f>SUM(AF27:AF34,AF36:AF37)/AF38</f>
        <v>1</v>
      </c>
      <c r="AC8" s="4296"/>
      <c r="AD8" s="4296"/>
      <c r="AE8" s="4296"/>
      <c r="AF8" s="4297"/>
      <c r="AG8" s="4295">
        <f>SUM(AK27:AK34,AK36:AK37)/AK38</f>
        <v>1</v>
      </c>
      <c r="AH8" s="4296"/>
      <c r="AI8" s="4296"/>
      <c r="AJ8" s="4296"/>
      <c r="AK8" s="4297"/>
    </row>
    <row r="9" spans="1:37" ht="14.25" customHeight="1" thickTop="1">
      <c r="A9" s="4367" t="s">
        <v>279</v>
      </c>
      <c r="B9" s="2497" t="s">
        <v>1002</v>
      </c>
      <c r="C9" s="4348" t="s">
        <v>252</v>
      </c>
      <c r="D9" s="4348"/>
      <c r="E9" s="4348"/>
      <c r="F9" s="4348"/>
      <c r="G9" s="4349"/>
      <c r="H9" s="4372" t="s">
        <v>252</v>
      </c>
      <c r="I9" s="4372"/>
      <c r="J9" s="4372"/>
      <c r="K9" s="4372"/>
      <c r="L9" s="4372"/>
      <c r="M9" s="4330">
        <v>1138.0999999999999</v>
      </c>
      <c r="N9" s="4331"/>
      <c r="O9" s="4331"/>
      <c r="P9" s="4331"/>
      <c r="Q9" s="4332"/>
      <c r="R9" s="4330">
        <v>1777.6340080000004</v>
      </c>
      <c r="S9" s="4331"/>
      <c r="T9" s="4331"/>
      <c r="U9" s="4331"/>
      <c r="V9" s="4332"/>
      <c r="W9" s="4322">
        <v>3585.9</v>
      </c>
      <c r="X9" s="4323"/>
      <c r="Y9" s="4323"/>
      <c r="Z9" s="4323"/>
      <c r="AA9" s="4324"/>
      <c r="AB9" s="4322">
        <v>5932.2</v>
      </c>
      <c r="AC9" s="4323"/>
      <c r="AD9" s="4323"/>
      <c r="AE9" s="4323"/>
      <c r="AF9" s="4324"/>
      <c r="AG9" s="4322">
        <f>SUM(AK40:AK45)</f>
        <v>7520.1100000000006</v>
      </c>
      <c r="AH9" s="4323"/>
      <c r="AI9" s="4323"/>
      <c r="AJ9" s="4323"/>
      <c r="AK9" s="4324"/>
    </row>
    <row r="10" spans="1:37" ht="14.25" customHeight="1">
      <c r="A10" s="4367"/>
      <c r="B10" s="2324" t="s">
        <v>1003</v>
      </c>
      <c r="C10" s="4350" t="s">
        <v>252</v>
      </c>
      <c r="D10" s="4350"/>
      <c r="E10" s="4350"/>
      <c r="F10" s="4350"/>
      <c r="G10" s="4351"/>
      <c r="H10" s="4281" t="s">
        <v>252</v>
      </c>
      <c r="I10" s="4281"/>
      <c r="J10" s="4281"/>
      <c r="K10" s="4281"/>
      <c r="L10" s="4281"/>
      <c r="M10" s="4280">
        <v>0.59000318040435451</v>
      </c>
      <c r="N10" s="4281"/>
      <c r="O10" s="4281"/>
      <c r="P10" s="4281"/>
      <c r="Q10" s="4282"/>
      <c r="R10" s="4280">
        <v>0.5</v>
      </c>
      <c r="S10" s="4281"/>
      <c r="T10" s="4281"/>
      <c r="U10" s="4281"/>
      <c r="V10" s="4282"/>
      <c r="W10" s="4280">
        <v>0.47499999999999998</v>
      </c>
      <c r="X10" s="4281"/>
      <c r="Y10" s="4281"/>
      <c r="Z10" s="4281"/>
      <c r="AA10" s="4282"/>
      <c r="AB10" s="4280">
        <f>AF52/AF51</f>
        <v>0.75288373899666439</v>
      </c>
      <c r="AC10" s="4281"/>
      <c r="AD10" s="4281"/>
      <c r="AE10" s="4281"/>
      <c r="AF10" s="4282"/>
      <c r="AG10" s="4280">
        <f>AK52/AK51</f>
        <v>0.78693271300502388</v>
      </c>
      <c r="AH10" s="4281"/>
      <c r="AI10" s="4281"/>
      <c r="AJ10" s="4281"/>
      <c r="AK10" s="4282"/>
    </row>
    <row r="11" spans="1:37" ht="14.25" customHeight="1">
      <c r="A11" s="4367"/>
      <c r="B11" s="2324" t="s">
        <v>1004</v>
      </c>
      <c r="C11" s="4337" t="s">
        <v>252</v>
      </c>
      <c r="D11" s="4337"/>
      <c r="E11" s="4337"/>
      <c r="F11" s="4337"/>
      <c r="G11" s="4338"/>
      <c r="H11" s="4284" t="s">
        <v>252</v>
      </c>
      <c r="I11" s="4284"/>
      <c r="J11" s="4284"/>
      <c r="K11" s="4284"/>
      <c r="L11" s="4284"/>
      <c r="M11" s="4283">
        <v>519.79999999999995</v>
      </c>
      <c r="N11" s="4284"/>
      <c r="O11" s="4284"/>
      <c r="P11" s="4284"/>
      <c r="Q11" s="4285"/>
      <c r="R11" s="4283">
        <v>940</v>
      </c>
      <c r="S11" s="4284"/>
      <c r="T11" s="4284"/>
      <c r="U11" s="4284"/>
      <c r="V11" s="4285"/>
      <c r="W11" s="4283">
        <v>1714.7</v>
      </c>
      <c r="X11" s="4284"/>
      <c r="Y11" s="4284"/>
      <c r="Z11" s="4284"/>
      <c r="AA11" s="4285"/>
      <c r="AB11" s="4283">
        <v>2282.1</v>
      </c>
      <c r="AC11" s="4284"/>
      <c r="AD11" s="4284"/>
      <c r="AE11" s="4284"/>
      <c r="AF11" s="4285"/>
      <c r="AG11" s="4283">
        <f>AK41</f>
        <v>2461.6800000000003</v>
      </c>
      <c r="AH11" s="4284"/>
      <c r="AI11" s="4284"/>
      <c r="AJ11" s="4284"/>
      <c r="AK11" s="4285"/>
    </row>
    <row r="12" spans="1:37" ht="15" customHeight="1">
      <c r="A12" s="4367"/>
      <c r="B12" s="2324" t="s">
        <v>1005</v>
      </c>
      <c r="C12" s="4350" t="s">
        <v>252</v>
      </c>
      <c r="D12" s="4350"/>
      <c r="E12" s="4350"/>
      <c r="F12" s="4350"/>
      <c r="G12" s="4351"/>
      <c r="H12" s="4373" t="s">
        <v>252</v>
      </c>
      <c r="I12" s="4281"/>
      <c r="J12" s="4281"/>
      <c r="K12" s="4281"/>
      <c r="L12" s="4281"/>
      <c r="M12" s="4280">
        <v>0.26948807672369096</v>
      </c>
      <c r="N12" s="4281"/>
      <c r="O12" s="4281"/>
      <c r="P12" s="4281"/>
      <c r="Q12" s="4282"/>
      <c r="R12" s="4280">
        <f>V41/V51</f>
        <v>0.27197061524015426</v>
      </c>
      <c r="S12" s="4281"/>
      <c r="T12" s="4281"/>
      <c r="U12" s="4281"/>
      <c r="V12" s="4282"/>
      <c r="W12" s="4280">
        <f>AA41/AA51</f>
        <v>0.22714854339631396</v>
      </c>
      <c r="X12" s="4281"/>
      <c r="Y12" s="4281"/>
      <c r="Z12" s="4281"/>
      <c r="AA12" s="4282"/>
      <c r="AB12" s="4280">
        <f>AF41/AF51</f>
        <v>0.28963018726113227</v>
      </c>
      <c r="AC12" s="4281"/>
      <c r="AD12" s="4281"/>
      <c r="AE12" s="4281"/>
      <c r="AF12" s="4282"/>
      <c r="AG12" s="4280">
        <f>AK41/AK51</f>
        <v>0.25759949268696963</v>
      </c>
      <c r="AH12" s="4281"/>
      <c r="AI12" s="4281"/>
      <c r="AJ12" s="4281"/>
      <c r="AK12" s="4282"/>
    </row>
    <row r="13" spans="1:37" ht="15" customHeight="1" thickBot="1">
      <c r="A13" s="4367"/>
      <c r="B13" s="2323" t="s">
        <v>1006</v>
      </c>
      <c r="C13" s="2501"/>
      <c r="D13" s="2502"/>
      <c r="E13" s="2502"/>
      <c r="F13" s="2502"/>
      <c r="G13" s="2503"/>
      <c r="H13" s="4386" t="s">
        <v>252</v>
      </c>
      <c r="I13" s="4387"/>
      <c r="J13" s="4387"/>
      <c r="K13" s="4387"/>
      <c r="L13" s="4387"/>
      <c r="M13" s="4388">
        <f t="shared" ref="M13" si="2">SUM(Q40:Q47,Q49:Q50)/Q51</f>
        <v>0.86390521122606134</v>
      </c>
      <c r="N13" s="4389"/>
      <c r="O13" s="4389"/>
      <c r="P13" s="4389"/>
      <c r="Q13" s="4390"/>
      <c r="R13" s="4388">
        <f t="shared" ref="R13" si="3">SUM(V40:V47,V49:V50)/V51</f>
        <v>0.79266891846440879</v>
      </c>
      <c r="S13" s="4389"/>
      <c r="T13" s="4389"/>
      <c r="U13" s="4389"/>
      <c r="V13" s="4390"/>
      <c r="W13" s="4304">
        <f t="shared" ref="W13" si="4">SUM(AA40:AA47,AA49:AA50)/AA51</f>
        <v>0.74746234563907743</v>
      </c>
      <c r="X13" s="4305"/>
      <c r="Y13" s="4305"/>
      <c r="Z13" s="4305"/>
      <c r="AA13" s="4306"/>
      <c r="AB13" s="4304">
        <f>SUM(AF40:AF47,AF49:AF50)/AF51</f>
        <v>0.75302588255292069</v>
      </c>
      <c r="AC13" s="4305"/>
      <c r="AD13" s="4305"/>
      <c r="AE13" s="4305"/>
      <c r="AF13" s="4306"/>
      <c r="AG13" s="4304">
        <f>SUM(AK40:AK47,AK49:AK50)/AK51</f>
        <v>0.99619096652131645</v>
      </c>
      <c r="AH13" s="4305"/>
      <c r="AI13" s="4305"/>
      <c r="AJ13" s="4305"/>
      <c r="AK13" s="4306"/>
    </row>
    <row r="14" spans="1:37" ht="14.25" customHeight="1" thickTop="1">
      <c r="A14" s="4368" t="s">
        <v>278</v>
      </c>
      <c r="B14" s="2497" t="s">
        <v>1002</v>
      </c>
      <c r="C14" s="4348" t="s">
        <v>252</v>
      </c>
      <c r="D14" s="4348"/>
      <c r="E14" s="4348"/>
      <c r="F14" s="4348"/>
      <c r="G14" s="4349"/>
      <c r="H14" s="4308" t="s">
        <v>252</v>
      </c>
      <c r="I14" s="4308"/>
      <c r="J14" s="4308"/>
      <c r="K14" s="4308"/>
      <c r="L14" s="4308"/>
      <c r="M14" s="4327">
        <v>1010</v>
      </c>
      <c r="N14" s="4328"/>
      <c r="O14" s="4328"/>
      <c r="P14" s="4328"/>
      <c r="Q14" s="4329"/>
      <c r="R14" s="4327">
        <v>1307</v>
      </c>
      <c r="S14" s="4328"/>
      <c r="T14" s="4328"/>
      <c r="U14" s="4328"/>
      <c r="V14" s="4329"/>
      <c r="W14" s="4307">
        <f>AA65</f>
        <v>1498.48</v>
      </c>
      <c r="X14" s="4308"/>
      <c r="Y14" s="4308"/>
      <c r="Z14" s="4308"/>
      <c r="AA14" s="4309"/>
      <c r="AB14" s="4307">
        <v>2413.3000000000002</v>
      </c>
      <c r="AC14" s="4308"/>
      <c r="AD14" s="4308"/>
      <c r="AE14" s="4308"/>
      <c r="AF14" s="4309"/>
      <c r="AG14" s="4307">
        <f>SUM(AK53:AK58)</f>
        <v>2142.39</v>
      </c>
      <c r="AH14" s="4308"/>
      <c r="AI14" s="4308"/>
      <c r="AJ14" s="4308"/>
      <c r="AK14" s="4309"/>
    </row>
    <row r="15" spans="1:37" ht="14.25" customHeight="1">
      <c r="A15" s="4369"/>
      <c r="B15" s="2324" t="s">
        <v>1003</v>
      </c>
      <c r="C15" s="4350" t="s">
        <v>252</v>
      </c>
      <c r="D15" s="4350"/>
      <c r="E15" s="4350"/>
      <c r="F15" s="4350"/>
      <c r="G15" s="4351"/>
      <c r="H15" s="4299" t="s">
        <v>252</v>
      </c>
      <c r="I15" s="4299"/>
      <c r="J15" s="4299"/>
      <c r="K15" s="4299"/>
      <c r="L15" s="4299"/>
      <c r="M15" s="4298">
        <v>0.61963190184049088</v>
      </c>
      <c r="N15" s="4299"/>
      <c r="O15" s="4299"/>
      <c r="P15" s="4299"/>
      <c r="Q15" s="4300"/>
      <c r="R15" s="4298">
        <f>V78/V77</f>
        <v>0.50498424694299837</v>
      </c>
      <c r="S15" s="4299"/>
      <c r="T15" s="4299"/>
      <c r="U15" s="4299"/>
      <c r="V15" s="4300"/>
      <c r="W15" s="4298">
        <v>0.36399999999999999</v>
      </c>
      <c r="X15" s="4299"/>
      <c r="Y15" s="4299"/>
      <c r="Z15" s="4299"/>
      <c r="AA15" s="4300"/>
      <c r="AB15" s="4298">
        <f>AF65/AF64</f>
        <v>0.48239378905328639</v>
      </c>
      <c r="AC15" s="4299"/>
      <c r="AD15" s="4299"/>
      <c r="AE15" s="4299"/>
      <c r="AF15" s="4300"/>
      <c r="AG15" s="4298">
        <f>AK65/AK64</f>
        <v>0.42893696254992841</v>
      </c>
      <c r="AH15" s="4299"/>
      <c r="AI15" s="4299"/>
      <c r="AJ15" s="4299"/>
      <c r="AK15" s="4300"/>
    </row>
    <row r="16" spans="1:37" ht="13.9" customHeight="1">
      <c r="A16" s="4369"/>
      <c r="B16" s="2324" t="s">
        <v>1004</v>
      </c>
      <c r="C16" s="4337" t="s">
        <v>252</v>
      </c>
      <c r="D16" s="4337"/>
      <c r="E16" s="4337"/>
      <c r="F16" s="4337"/>
      <c r="G16" s="4338"/>
      <c r="H16" s="4371" t="s">
        <v>252</v>
      </c>
      <c r="I16" s="4302"/>
      <c r="J16" s="4302"/>
      <c r="K16" s="4302"/>
      <c r="L16" s="4302"/>
      <c r="M16" s="4301">
        <v>386</v>
      </c>
      <c r="N16" s="4302"/>
      <c r="O16" s="4302"/>
      <c r="P16" s="4302"/>
      <c r="Q16" s="4303"/>
      <c r="R16" s="4301">
        <v>683</v>
      </c>
      <c r="S16" s="4302"/>
      <c r="T16" s="4302"/>
      <c r="U16" s="4302"/>
      <c r="V16" s="4303"/>
      <c r="W16" s="4301">
        <f>AA54</f>
        <v>1327.96</v>
      </c>
      <c r="X16" s="4302"/>
      <c r="Y16" s="4302"/>
      <c r="Z16" s="4302"/>
      <c r="AA16" s="4303"/>
      <c r="AB16" s="4301">
        <v>1215.5999999999999</v>
      </c>
      <c r="AC16" s="4302"/>
      <c r="AD16" s="4302"/>
      <c r="AE16" s="4302"/>
      <c r="AF16" s="4303"/>
      <c r="AG16" s="4301">
        <v>1207.7</v>
      </c>
      <c r="AH16" s="4302"/>
      <c r="AI16" s="4302"/>
      <c r="AJ16" s="4302"/>
      <c r="AK16" s="4303"/>
    </row>
    <row r="17" spans="1:39" ht="14.25" customHeight="1">
      <c r="A17" s="4369"/>
      <c r="B17" s="2326" t="s">
        <v>1005</v>
      </c>
      <c r="C17" s="4350" t="s">
        <v>252</v>
      </c>
      <c r="D17" s="4350"/>
      <c r="E17" s="4350"/>
      <c r="F17" s="4350"/>
      <c r="G17" s="4350"/>
      <c r="H17" s="4299" t="s">
        <v>252</v>
      </c>
      <c r="I17" s="4299"/>
      <c r="J17" s="4299"/>
      <c r="K17" s="4299"/>
      <c r="L17" s="4299"/>
      <c r="M17" s="4298">
        <v>0.11245455053200348</v>
      </c>
      <c r="N17" s="4299"/>
      <c r="O17" s="4299"/>
      <c r="P17" s="4299"/>
      <c r="Q17" s="4300"/>
      <c r="R17" s="4298">
        <f>V54/V64</f>
        <v>0.25333827893175076</v>
      </c>
      <c r="S17" s="4299"/>
      <c r="T17" s="4299"/>
      <c r="U17" s="4299"/>
      <c r="V17" s="4300"/>
      <c r="W17" s="4298">
        <f>AA54/AA64</f>
        <v>0.31086079196981187</v>
      </c>
      <c r="X17" s="4299"/>
      <c r="Y17" s="4299"/>
      <c r="Z17" s="4299"/>
      <c r="AA17" s="4300"/>
      <c r="AB17" s="4298">
        <f>AF54/AF64</f>
        <v>0.24297890372952638</v>
      </c>
      <c r="AC17" s="4299"/>
      <c r="AD17" s="4299"/>
      <c r="AE17" s="4299"/>
      <c r="AF17" s="4300"/>
      <c r="AG17" s="4298">
        <f>AK54/AK64</f>
        <v>0.24179472035077537</v>
      </c>
      <c r="AH17" s="4299"/>
      <c r="AI17" s="4299"/>
      <c r="AJ17" s="4299"/>
      <c r="AK17" s="4300"/>
    </row>
    <row r="18" spans="1:39" ht="14.25" customHeight="1" thickBot="1">
      <c r="A18" s="4370"/>
      <c r="B18" s="2325" t="s">
        <v>1006</v>
      </c>
      <c r="C18" s="2502"/>
      <c r="D18" s="2502"/>
      <c r="E18" s="2502"/>
      <c r="F18" s="2502"/>
      <c r="G18" s="2504"/>
      <c r="H18" s="4401"/>
      <c r="I18" s="4402"/>
      <c r="J18" s="4402"/>
      <c r="K18" s="4402"/>
      <c r="L18" s="4402"/>
      <c r="M18" s="4391">
        <f t="shared" ref="M18" si="5">SUM(Q53:Q60,Q62:Q63)/Q64</f>
        <v>1</v>
      </c>
      <c r="N18" s="4392"/>
      <c r="O18" s="4392"/>
      <c r="P18" s="4392"/>
      <c r="Q18" s="4393"/>
      <c r="R18" s="4391">
        <f t="shared" ref="R18" si="6">SUM(V53:V60,V62:V63)/V64</f>
        <v>1</v>
      </c>
      <c r="S18" s="4392"/>
      <c r="T18" s="4392"/>
      <c r="U18" s="4392"/>
      <c r="V18" s="4393"/>
      <c r="W18" s="4319">
        <f t="shared" ref="W18" si="7">SUM(AA53:AA60,AA62:AA63)/AA64</f>
        <v>1</v>
      </c>
      <c r="X18" s="4320"/>
      <c r="Y18" s="4320"/>
      <c r="Z18" s="4320"/>
      <c r="AA18" s="4321"/>
      <c r="AB18" s="4319">
        <f>SUM(AF53:AF60,AF62:AF63)/AF64</f>
        <v>1</v>
      </c>
      <c r="AC18" s="4320"/>
      <c r="AD18" s="4320"/>
      <c r="AE18" s="4320"/>
      <c r="AF18" s="4321"/>
      <c r="AG18" s="4319">
        <f>SUM(AK53:AK60,AK62:AK63)/AK64</f>
        <v>1</v>
      </c>
      <c r="AH18" s="4320"/>
      <c r="AI18" s="4320"/>
      <c r="AJ18" s="4320"/>
      <c r="AK18" s="4321"/>
    </row>
    <row r="19" spans="1:39" ht="21.4" customHeight="1" thickTop="1">
      <c r="A19" s="4375" t="s">
        <v>183</v>
      </c>
      <c r="B19" s="2327" t="s">
        <v>1007</v>
      </c>
      <c r="C19" s="4378" t="s">
        <v>252</v>
      </c>
      <c r="D19" s="4378"/>
      <c r="E19" s="4378"/>
      <c r="F19" s="4378"/>
      <c r="G19" s="4379"/>
      <c r="H19" s="4374" t="s">
        <v>252</v>
      </c>
      <c r="I19" s="4374"/>
      <c r="J19" s="4374"/>
      <c r="K19" s="4374"/>
      <c r="L19" s="4374"/>
      <c r="M19" s="4394">
        <v>2855.7634320511193</v>
      </c>
      <c r="N19" s="4395"/>
      <c r="O19" s="4395"/>
      <c r="P19" s="4395"/>
      <c r="Q19" s="4396"/>
      <c r="R19" s="4394">
        <v>3230</v>
      </c>
      <c r="S19" s="4395"/>
      <c r="T19" s="4395"/>
      <c r="U19" s="4395"/>
      <c r="V19" s="4396"/>
      <c r="W19" s="4310">
        <f>W4+W14+W9</f>
        <v>5408.91</v>
      </c>
      <c r="X19" s="4311"/>
      <c r="Y19" s="4311"/>
      <c r="Z19" s="4311"/>
      <c r="AA19" s="4312"/>
      <c r="AB19" s="4310">
        <f>AB4+AB14+AB9</f>
        <v>8656.2999999999993</v>
      </c>
      <c r="AC19" s="4311"/>
      <c r="AD19" s="4311"/>
      <c r="AE19" s="4311"/>
      <c r="AF19" s="4312"/>
      <c r="AG19" s="4310">
        <f>AG4+AG14+AG9</f>
        <v>9965.64</v>
      </c>
      <c r="AH19" s="4311"/>
      <c r="AI19" s="4311"/>
      <c r="AJ19" s="4311"/>
      <c r="AK19" s="4312"/>
    </row>
    <row r="20" spans="1:39" ht="21.4" customHeight="1">
      <c r="A20" s="4376"/>
      <c r="B20" s="2324" t="s">
        <v>1003</v>
      </c>
      <c r="C20" s="4363" t="s">
        <v>252</v>
      </c>
      <c r="D20" s="4363"/>
      <c r="E20" s="4363"/>
      <c r="F20" s="4363"/>
      <c r="G20" s="4364"/>
      <c r="H20" s="4357" t="s">
        <v>252</v>
      </c>
      <c r="I20" s="4357"/>
      <c r="J20" s="4357"/>
      <c r="K20" s="4357"/>
      <c r="L20" s="4357"/>
      <c r="M20" s="4313">
        <v>0.7701378143240023</v>
      </c>
      <c r="N20" s="4314"/>
      <c r="O20" s="4314"/>
      <c r="P20" s="4314"/>
      <c r="Q20" s="4315"/>
      <c r="R20" s="4313">
        <v>0.55979999999999996</v>
      </c>
      <c r="S20" s="4314"/>
      <c r="T20" s="4314"/>
      <c r="U20" s="4314"/>
      <c r="V20" s="4315"/>
      <c r="W20" s="4313">
        <f>AA78/AA77</f>
        <v>0.4383058641153354</v>
      </c>
      <c r="X20" s="4314"/>
      <c r="Y20" s="4314"/>
      <c r="Z20" s="4314"/>
      <c r="AA20" s="4315"/>
      <c r="AB20" s="4313">
        <f>AF78/AF77</f>
        <v>0.64457128652806817</v>
      </c>
      <c r="AC20" s="4314"/>
      <c r="AD20" s="4314"/>
      <c r="AE20" s="4314"/>
      <c r="AF20" s="4315"/>
      <c r="AG20" s="4313">
        <f>AK78/AK77</f>
        <v>0.65948394807319299</v>
      </c>
      <c r="AH20" s="4314"/>
      <c r="AI20" s="4314"/>
      <c r="AJ20" s="4314"/>
      <c r="AK20" s="4315"/>
    </row>
    <row r="21" spans="1:39" ht="21.4" customHeight="1">
      <c r="A21" s="4376"/>
      <c r="B21" s="2324" t="s">
        <v>1004</v>
      </c>
      <c r="C21" s="4365" t="s">
        <v>252</v>
      </c>
      <c r="D21" s="4365"/>
      <c r="E21" s="4365"/>
      <c r="F21" s="4365"/>
      <c r="G21" s="4366"/>
      <c r="H21" s="4355" t="s">
        <v>252</v>
      </c>
      <c r="I21" s="4355"/>
      <c r="J21" s="4355"/>
      <c r="K21" s="4355"/>
      <c r="L21" s="4355"/>
      <c r="M21" s="4316">
        <v>948.34249999999986</v>
      </c>
      <c r="N21" s="4317"/>
      <c r="O21" s="4317"/>
      <c r="P21" s="4317"/>
      <c r="Q21" s="4318"/>
      <c r="R21" s="4316">
        <v>1690</v>
      </c>
      <c r="S21" s="4317"/>
      <c r="T21" s="4317"/>
      <c r="U21" s="4317"/>
      <c r="V21" s="4318"/>
      <c r="W21" s="4316">
        <f>W6+W16+W11</f>
        <v>3129.96</v>
      </c>
      <c r="X21" s="4317"/>
      <c r="Y21" s="4317"/>
      <c r="Z21" s="4317"/>
      <c r="AA21" s="4318"/>
      <c r="AB21" s="4316">
        <f>AB6+AB16+AB11</f>
        <v>3572.2999999999997</v>
      </c>
      <c r="AC21" s="4317"/>
      <c r="AD21" s="4317"/>
      <c r="AE21" s="4317"/>
      <c r="AF21" s="4318"/>
      <c r="AG21" s="4316">
        <f>AG6+AG16+AG11</f>
        <v>3750.7500000000005</v>
      </c>
      <c r="AH21" s="4317"/>
      <c r="AI21" s="4317"/>
      <c r="AJ21" s="4317"/>
      <c r="AK21" s="4318"/>
    </row>
    <row r="22" spans="1:39" ht="21.4" customHeight="1">
      <c r="A22" s="4376"/>
      <c r="B22" s="2326" t="s">
        <v>1005</v>
      </c>
      <c r="C22" s="4363" t="s">
        <v>252</v>
      </c>
      <c r="D22" s="4363"/>
      <c r="E22" s="4363"/>
      <c r="F22" s="4363"/>
      <c r="G22" s="4364"/>
      <c r="H22" s="4356" t="s">
        <v>252</v>
      </c>
      <c r="I22" s="4357"/>
      <c r="J22" s="4357"/>
      <c r="K22" s="4357"/>
      <c r="L22" s="4357"/>
      <c r="M22" s="4313">
        <f>Q67/Q77</f>
        <v>0.25574565948976669</v>
      </c>
      <c r="N22" s="4314"/>
      <c r="O22" s="4314"/>
      <c r="P22" s="4314"/>
      <c r="Q22" s="4315"/>
      <c r="R22" s="4313">
        <f>V67/V77</f>
        <v>0.26418733856905746</v>
      </c>
      <c r="S22" s="4314"/>
      <c r="T22" s="4314"/>
      <c r="U22" s="4314"/>
      <c r="V22" s="4315"/>
      <c r="W22" s="4313">
        <f>AA67/AA77</f>
        <v>0.25363275733735791</v>
      </c>
      <c r="X22" s="4314"/>
      <c r="Y22" s="4314"/>
      <c r="Z22" s="4314"/>
      <c r="AA22" s="4315"/>
      <c r="AB22" s="4313">
        <f>AF67/AF77</f>
        <v>0.26599956234989597</v>
      </c>
      <c r="AC22" s="4314"/>
      <c r="AD22" s="4314"/>
      <c r="AE22" s="4314"/>
      <c r="AF22" s="4315"/>
      <c r="AG22" s="4313">
        <f>AK67/AK77</f>
        <v>0.24820746370093316</v>
      </c>
      <c r="AH22" s="4314"/>
      <c r="AI22" s="4314"/>
      <c r="AJ22" s="4314"/>
      <c r="AK22" s="4315"/>
    </row>
    <row r="23" spans="1:39" ht="21.4" customHeight="1" thickBot="1">
      <c r="A23" s="4377"/>
      <c r="B23" s="2325" t="s">
        <v>1006</v>
      </c>
      <c r="C23" s="2505"/>
      <c r="D23" s="2505"/>
      <c r="E23" s="2505"/>
      <c r="F23" s="2505"/>
      <c r="G23" s="2506"/>
      <c r="H23" s="4403"/>
      <c r="I23" s="4404"/>
      <c r="J23" s="4404"/>
      <c r="K23" s="4404"/>
      <c r="L23" s="4404"/>
      <c r="M23" s="4380">
        <f t="shared" ref="M23" si="8">SUM(Q66:Q73,Q75:Q76)/Q77</f>
        <v>0.92760986983525728</v>
      </c>
      <c r="N23" s="4381"/>
      <c r="O23" s="4381"/>
      <c r="P23" s="4381"/>
      <c r="Q23" s="4382"/>
      <c r="R23" s="4380">
        <f t="shared" ref="R23" si="9">SUM(V66:V73,V75:V76)/V77</f>
        <v>0.87418930448653642</v>
      </c>
      <c r="S23" s="4381"/>
      <c r="T23" s="4381"/>
      <c r="U23" s="4381"/>
      <c r="V23" s="4382"/>
      <c r="W23" s="4380">
        <f t="shared" ref="W23" si="10">SUM(AA66:AA73,AA75:AA76)/AA77</f>
        <v>0.83138127477029178</v>
      </c>
      <c r="X23" s="4381"/>
      <c r="Y23" s="4381"/>
      <c r="Z23" s="4381"/>
      <c r="AA23" s="4382"/>
      <c r="AB23" s="4380">
        <f>SUM(AF66:AF73,AF75:AF76)/AF77</f>
        <v>0.85509721070720712</v>
      </c>
      <c r="AC23" s="4381"/>
      <c r="AD23" s="4381"/>
      <c r="AE23" s="4381"/>
      <c r="AF23" s="4382"/>
      <c r="AG23" s="4380">
        <f>SUM(AK66:AK73,AK75:AK76)/AK77</f>
        <v>0.99759120179839289</v>
      </c>
      <c r="AH23" s="4381"/>
      <c r="AI23" s="4381"/>
      <c r="AJ23" s="4381"/>
      <c r="AK23" s="4382"/>
    </row>
    <row r="24" spans="1:39" ht="15" thickTop="1" thickBot="1">
      <c r="A24" s="2496"/>
      <c r="B24" s="56"/>
      <c r="C24" s="6"/>
      <c r="D24" s="6"/>
      <c r="E24" s="6"/>
      <c r="F24" s="6"/>
      <c r="G24" s="6"/>
      <c r="H24" s="2507"/>
      <c r="I24" s="2507"/>
      <c r="J24" s="2507"/>
      <c r="K24" s="2507"/>
      <c r="L24" s="2508"/>
      <c r="M24" s="2502"/>
      <c r="N24" s="2502"/>
      <c r="O24" s="2502"/>
      <c r="P24" s="2502"/>
      <c r="Q24" s="2509"/>
      <c r="R24" s="2502"/>
      <c r="S24" s="2502"/>
      <c r="T24" s="2502"/>
      <c r="U24" s="2502"/>
      <c r="V24" s="2509"/>
      <c r="W24" s="2502"/>
      <c r="X24" s="2502"/>
      <c r="Y24" s="2502"/>
      <c r="Z24" s="2502"/>
      <c r="AA24" s="2509"/>
      <c r="AB24" s="2502"/>
      <c r="AC24" s="2502"/>
      <c r="AD24" s="2502"/>
      <c r="AE24" s="2502"/>
      <c r="AF24" s="2509"/>
      <c r="AG24" s="2502"/>
      <c r="AH24" s="2502"/>
      <c r="AI24" s="2502"/>
      <c r="AJ24" s="2502"/>
      <c r="AK24" s="2509"/>
    </row>
    <row r="25" spans="1:39" ht="15" thickTop="1" thickBot="1">
      <c r="A25" s="2496"/>
      <c r="B25" s="56"/>
      <c r="C25" s="6"/>
      <c r="D25" s="6"/>
      <c r="E25" s="6"/>
      <c r="F25" s="6"/>
      <c r="G25" s="6"/>
      <c r="H25" s="2510"/>
      <c r="I25" s="2510"/>
      <c r="J25" s="2510"/>
      <c r="K25" s="2510"/>
      <c r="L25" s="2510"/>
      <c r="M25" s="4397" t="s">
        <v>14</v>
      </c>
      <c r="N25" s="4398"/>
      <c r="O25" s="4398"/>
      <c r="P25" s="4398"/>
      <c r="Q25" s="4399"/>
      <c r="R25" s="4343" t="s">
        <v>15</v>
      </c>
      <c r="S25" s="4344"/>
      <c r="T25" s="4344"/>
      <c r="U25" s="4344"/>
      <c r="V25" s="4345"/>
      <c r="W25" s="4343" t="s">
        <v>16</v>
      </c>
      <c r="X25" s="4344"/>
      <c r="Y25" s="4344"/>
      <c r="Z25" s="4344"/>
      <c r="AA25" s="4345"/>
      <c r="AB25" s="4397" t="s">
        <v>163</v>
      </c>
      <c r="AC25" s="4398"/>
      <c r="AD25" s="4398"/>
      <c r="AE25" s="4398"/>
      <c r="AF25" s="4399"/>
      <c r="AG25" s="4397" t="s">
        <v>164</v>
      </c>
      <c r="AH25" s="4398"/>
      <c r="AI25" s="4398"/>
      <c r="AJ25" s="4398"/>
      <c r="AK25" s="4399"/>
    </row>
    <row r="26" spans="1:39" ht="45.75" customHeight="1" thickTop="1" thickBot="1">
      <c r="A26" s="4358" t="s">
        <v>274</v>
      </c>
      <c r="B26" s="2626" t="s">
        <v>1008</v>
      </c>
      <c r="C26" s="2627" t="s">
        <v>1009</v>
      </c>
      <c r="D26" s="2628" t="s">
        <v>1010</v>
      </c>
      <c r="E26" s="2628" t="s">
        <v>1011</v>
      </c>
      <c r="F26" s="2628" t="s">
        <v>1012</v>
      </c>
      <c r="G26" s="2629" t="s">
        <v>620</v>
      </c>
      <c r="H26" s="2630" t="s">
        <v>1009</v>
      </c>
      <c r="I26" s="2628" t="s">
        <v>1010</v>
      </c>
      <c r="J26" s="2628" t="s">
        <v>1011</v>
      </c>
      <c r="K26" s="2628" t="s">
        <v>1012</v>
      </c>
      <c r="L26" s="2631" t="s">
        <v>620</v>
      </c>
      <c r="M26" s="2632" t="s">
        <v>1009</v>
      </c>
      <c r="N26" s="2633" t="s">
        <v>1010</v>
      </c>
      <c r="O26" s="2633" t="s">
        <v>1011</v>
      </c>
      <c r="P26" s="2633" t="s">
        <v>1012</v>
      </c>
      <c r="Q26" s="2634" t="s">
        <v>620</v>
      </c>
      <c r="R26" s="2632" t="s">
        <v>1009</v>
      </c>
      <c r="S26" s="2633" t="s">
        <v>1010</v>
      </c>
      <c r="T26" s="2633" t="s">
        <v>1011</v>
      </c>
      <c r="U26" s="2633" t="s">
        <v>1012</v>
      </c>
      <c r="V26" s="2634" t="s">
        <v>620</v>
      </c>
      <c r="W26" s="2632" t="s">
        <v>1009</v>
      </c>
      <c r="X26" s="2633" t="s">
        <v>1010</v>
      </c>
      <c r="Y26" s="2633" t="s">
        <v>1011</v>
      </c>
      <c r="Z26" s="2633" t="s">
        <v>1012</v>
      </c>
      <c r="AA26" s="2634" t="s">
        <v>620</v>
      </c>
      <c r="AB26" s="2632" t="s">
        <v>1009</v>
      </c>
      <c r="AC26" s="2633" t="s">
        <v>1010</v>
      </c>
      <c r="AD26" s="2633" t="s">
        <v>1011</v>
      </c>
      <c r="AE26" s="2633" t="s">
        <v>1012</v>
      </c>
      <c r="AF26" s="2634" t="s">
        <v>620</v>
      </c>
      <c r="AG26" s="2632" t="s">
        <v>1009</v>
      </c>
      <c r="AH26" s="2633" t="s">
        <v>1010</v>
      </c>
      <c r="AI26" s="2633" t="s">
        <v>1011</v>
      </c>
      <c r="AJ26" s="2633" t="s">
        <v>1012</v>
      </c>
      <c r="AK26" s="2634" t="s">
        <v>620</v>
      </c>
    </row>
    <row r="27" spans="1:39">
      <c r="A27" s="4361"/>
      <c r="B27" s="2511" t="s">
        <v>1013</v>
      </c>
      <c r="C27" s="2512" t="s">
        <v>252</v>
      </c>
      <c r="D27" s="2315" t="s">
        <v>252</v>
      </c>
      <c r="E27" s="2315" t="s">
        <v>252</v>
      </c>
      <c r="F27" s="2315" t="s">
        <v>252</v>
      </c>
      <c r="G27" s="2513" t="s">
        <v>252</v>
      </c>
      <c r="H27" s="2514" t="s">
        <v>252</v>
      </c>
      <c r="I27" s="2515" t="s">
        <v>252</v>
      </c>
      <c r="J27" s="2515" t="s">
        <v>252</v>
      </c>
      <c r="K27" s="2515" t="s">
        <v>252</v>
      </c>
      <c r="L27" s="2516" t="s">
        <v>252</v>
      </c>
      <c r="M27" s="2517">
        <v>0</v>
      </c>
      <c r="N27" s="2515">
        <v>0</v>
      </c>
      <c r="O27" s="2515">
        <v>0</v>
      </c>
      <c r="P27" s="2515">
        <v>0</v>
      </c>
      <c r="Q27" s="2518">
        <v>0</v>
      </c>
      <c r="R27" s="2517">
        <v>0</v>
      </c>
      <c r="S27" s="2515">
        <v>0</v>
      </c>
      <c r="T27" s="2515">
        <v>0</v>
      </c>
      <c r="U27" s="2515">
        <v>0</v>
      </c>
      <c r="V27" s="2518">
        <v>0</v>
      </c>
      <c r="W27" s="2517">
        <v>0</v>
      </c>
      <c r="X27" s="2515">
        <v>0</v>
      </c>
      <c r="Y27" s="2515">
        <v>0</v>
      </c>
      <c r="Z27" s="2515">
        <v>0</v>
      </c>
      <c r="AA27" s="2518">
        <v>0</v>
      </c>
      <c r="AB27" s="2519">
        <v>0</v>
      </c>
      <c r="AC27" s="2520">
        <v>0</v>
      </c>
      <c r="AD27" s="2520">
        <v>0</v>
      </c>
      <c r="AE27" s="2520">
        <v>0</v>
      </c>
      <c r="AF27" s="2521">
        <f>SUM(AB27:AE27)</f>
        <v>0</v>
      </c>
      <c r="AG27" s="2575">
        <v>0</v>
      </c>
      <c r="AH27" s="3013">
        <v>0</v>
      </c>
      <c r="AI27" s="3013">
        <v>0</v>
      </c>
      <c r="AJ27" s="3013">
        <v>0</v>
      </c>
      <c r="AK27" s="2521">
        <f>SUM(AG27:AJ27)</f>
        <v>0</v>
      </c>
    </row>
    <row r="28" spans="1:39" ht="14.25" customHeight="1">
      <c r="A28" s="4361"/>
      <c r="B28" s="2522" t="s">
        <v>1014</v>
      </c>
      <c r="C28" s="2523" t="s">
        <v>252</v>
      </c>
      <c r="D28" s="1337" t="s">
        <v>252</v>
      </c>
      <c r="E28" s="1337" t="s">
        <v>252</v>
      </c>
      <c r="F28" s="1337" t="s">
        <v>252</v>
      </c>
      <c r="G28" s="2524" t="s">
        <v>252</v>
      </c>
      <c r="H28" s="2525" t="s">
        <v>252</v>
      </c>
      <c r="I28" s="2526" t="s">
        <v>252</v>
      </c>
      <c r="J28" s="2526" t="s">
        <v>252</v>
      </c>
      <c r="K28" s="2526" t="s">
        <v>252</v>
      </c>
      <c r="L28" s="2516" t="s">
        <v>252</v>
      </c>
      <c r="M28" s="2527">
        <v>42.5</v>
      </c>
      <c r="N28" s="2526">
        <v>0</v>
      </c>
      <c r="O28" s="2526">
        <v>0</v>
      </c>
      <c r="P28" s="2526">
        <v>0</v>
      </c>
      <c r="Q28" s="2518">
        <v>42.5</v>
      </c>
      <c r="R28" s="2527">
        <v>66.849999999999994</v>
      </c>
      <c r="S28" s="2526">
        <v>0</v>
      </c>
      <c r="T28" s="2526">
        <v>0</v>
      </c>
      <c r="U28" s="2526">
        <v>0</v>
      </c>
      <c r="V28" s="2518">
        <v>66.849999999999994</v>
      </c>
      <c r="W28" s="2527">
        <v>75.2</v>
      </c>
      <c r="X28" s="2526">
        <v>0</v>
      </c>
      <c r="Y28" s="2526">
        <v>12.1</v>
      </c>
      <c r="Z28" s="2526">
        <v>0</v>
      </c>
      <c r="AA28" s="2518">
        <v>87.3</v>
      </c>
      <c r="AB28" s="2527">
        <f>57.43+16.145</f>
        <v>73.575000000000003</v>
      </c>
      <c r="AC28" s="2526">
        <v>0</v>
      </c>
      <c r="AD28" s="2526">
        <f>0.8+0.243</f>
        <v>1.0430000000000001</v>
      </c>
      <c r="AE28" s="2526">
        <v>0</v>
      </c>
      <c r="AF28" s="2518">
        <f t="shared" ref="AF28:AF37" si="11">SUM(AB28:AE28)</f>
        <v>74.618000000000009</v>
      </c>
      <c r="AG28" s="2577">
        <v>74.28</v>
      </c>
      <c r="AH28" s="3014">
        <v>0</v>
      </c>
      <c r="AI28" s="3014">
        <v>7.09</v>
      </c>
      <c r="AJ28" s="3014">
        <v>0</v>
      </c>
      <c r="AK28" s="2518">
        <v>81.37</v>
      </c>
    </row>
    <row r="29" spans="1:39" ht="14.25" customHeight="1">
      <c r="A29" s="4361"/>
      <c r="B29" s="2522" t="s">
        <v>1015</v>
      </c>
      <c r="C29" s="2523" t="s">
        <v>252</v>
      </c>
      <c r="D29" s="1337" t="s">
        <v>252</v>
      </c>
      <c r="E29" s="1337" t="s">
        <v>252</v>
      </c>
      <c r="F29" s="1337" t="s">
        <v>252</v>
      </c>
      <c r="G29" s="2524" t="s">
        <v>252</v>
      </c>
      <c r="H29" s="2525" t="s">
        <v>252</v>
      </c>
      <c r="I29" s="2526" t="s">
        <v>252</v>
      </c>
      <c r="J29" s="2526" t="s">
        <v>252</v>
      </c>
      <c r="K29" s="2526" t="s">
        <v>252</v>
      </c>
      <c r="L29" s="2516" t="s">
        <v>252</v>
      </c>
      <c r="M29" s="2527">
        <v>0</v>
      </c>
      <c r="N29" s="2526">
        <v>0</v>
      </c>
      <c r="O29" s="2526">
        <v>0</v>
      </c>
      <c r="P29" s="2526">
        <v>0</v>
      </c>
      <c r="Q29" s="2518">
        <v>0</v>
      </c>
      <c r="R29" s="2527">
        <v>0</v>
      </c>
      <c r="S29" s="2526">
        <v>0</v>
      </c>
      <c r="T29" s="2526">
        <v>0</v>
      </c>
      <c r="U29" s="2526">
        <v>0</v>
      </c>
      <c r="V29" s="2518">
        <v>0</v>
      </c>
      <c r="W29" s="2527">
        <v>237.15</v>
      </c>
      <c r="X29" s="2526">
        <v>0</v>
      </c>
      <c r="Y29" s="2526">
        <v>0</v>
      </c>
      <c r="Z29" s="2526">
        <v>0</v>
      </c>
      <c r="AA29" s="2518">
        <v>237.15</v>
      </c>
      <c r="AB29" s="2527">
        <v>0</v>
      </c>
      <c r="AC29" s="2526">
        <v>0</v>
      </c>
      <c r="AD29" s="2526">
        <v>0</v>
      </c>
      <c r="AE29" s="2526">
        <v>0</v>
      </c>
      <c r="AF29" s="2518">
        <f t="shared" si="11"/>
        <v>0</v>
      </c>
      <c r="AG29" s="2577">
        <v>0</v>
      </c>
      <c r="AH29" s="3014">
        <v>0</v>
      </c>
      <c r="AI29" s="3014">
        <v>0</v>
      </c>
      <c r="AJ29" s="3014">
        <v>0</v>
      </c>
      <c r="AK29" s="2518">
        <f t="shared" ref="AK29:AK37" si="12">SUM(AG29:AJ29)</f>
        <v>0</v>
      </c>
    </row>
    <row r="30" spans="1:39" ht="14.25" customHeight="1">
      <c r="A30" s="4361"/>
      <c r="B30" s="2528" t="s">
        <v>1016</v>
      </c>
      <c r="C30" s="2523" t="s">
        <v>252</v>
      </c>
      <c r="D30" s="1337" t="s">
        <v>252</v>
      </c>
      <c r="E30" s="1337" t="s">
        <v>252</v>
      </c>
      <c r="F30" s="1337" t="s">
        <v>252</v>
      </c>
      <c r="G30" s="2524" t="s">
        <v>252</v>
      </c>
      <c r="H30" s="2525" t="s">
        <v>252</v>
      </c>
      <c r="I30" s="2526" t="s">
        <v>252</v>
      </c>
      <c r="J30" s="2526" t="s">
        <v>252</v>
      </c>
      <c r="K30" s="2526" t="s">
        <v>252</v>
      </c>
      <c r="L30" s="2516" t="s">
        <v>252</v>
      </c>
      <c r="M30" s="2527">
        <v>100.7</v>
      </c>
      <c r="N30" s="2526">
        <v>0</v>
      </c>
      <c r="O30" s="2526">
        <v>0</v>
      </c>
      <c r="P30" s="2526">
        <v>0</v>
      </c>
      <c r="Q30" s="2518">
        <v>100.7</v>
      </c>
      <c r="R30" s="2527">
        <v>78.650000000000006</v>
      </c>
      <c r="S30" s="2526">
        <v>0</v>
      </c>
      <c r="T30" s="2526">
        <v>0</v>
      </c>
      <c r="U30" s="2526">
        <v>0</v>
      </c>
      <c r="V30" s="2518">
        <v>78.650000000000006</v>
      </c>
      <c r="W30" s="2527">
        <v>0</v>
      </c>
      <c r="X30" s="2526">
        <v>0</v>
      </c>
      <c r="Y30" s="2526">
        <v>0</v>
      </c>
      <c r="Z30" s="2526">
        <v>0</v>
      </c>
      <c r="AA30" s="2518">
        <v>0</v>
      </c>
      <c r="AB30" s="2527">
        <f>217.9+0.38</f>
        <v>218.28</v>
      </c>
      <c r="AC30" s="2526">
        <v>0</v>
      </c>
      <c r="AD30" s="2526">
        <f>17.935</f>
        <v>17.934999999999999</v>
      </c>
      <c r="AE30" s="2526">
        <v>0</v>
      </c>
      <c r="AF30" s="2518">
        <f t="shared" si="11"/>
        <v>236.215</v>
      </c>
      <c r="AG30" s="2577">
        <v>218.85</v>
      </c>
      <c r="AH30" s="3014">
        <v>0</v>
      </c>
      <c r="AI30" s="3014">
        <v>0</v>
      </c>
      <c r="AJ30" s="3014">
        <v>0</v>
      </c>
      <c r="AK30" s="2518">
        <v>221.77</v>
      </c>
    </row>
    <row r="31" spans="1:39" ht="14.25" customHeight="1">
      <c r="A31" s="4361"/>
      <c r="B31" s="2522" t="s">
        <v>1017</v>
      </c>
      <c r="C31" s="2523" t="s">
        <v>252</v>
      </c>
      <c r="D31" s="1337" t="s">
        <v>252</v>
      </c>
      <c r="E31" s="1337" t="s">
        <v>252</v>
      </c>
      <c r="F31" s="1337" t="s">
        <v>252</v>
      </c>
      <c r="G31" s="2524" t="s">
        <v>252</v>
      </c>
      <c r="H31" s="2525" t="s">
        <v>252</v>
      </c>
      <c r="I31" s="2526" t="s">
        <v>252</v>
      </c>
      <c r="J31" s="2526" t="s">
        <v>252</v>
      </c>
      <c r="K31" s="2526" t="s">
        <v>252</v>
      </c>
      <c r="L31" s="2516" t="s">
        <v>252</v>
      </c>
      <c r="M31" s="2527">
        <v>0</v>
      </c>
      <c r="N31" s="2526">
        <v>0</v>
      </c>
      <c r="O31" s="2526">
        <v>0</v>
      </c>
      <c r="P31" s="2526">
        <v>0</v>
      </c>
      <c r="Q31" s="2518">
        <v>0</v>
      </c>
      <c r="R31" s="2527">
        <v>0</v>
      </c>
      <c r="S31" s="2526">
        <v>0</v>
      </c>
      <c r="T31" s="2526">
        <v>0</v>
      </c>
      <c r="U31" s="2526">
        <v>0</v>
      </c>
      <c r="V31" s="2518">
        <v>0</v>
      </c>
      <c r="W31" s="2527">
        <v>0</v>
      </c>
      <c r="X31" s="2526">
        <v>0</v>
      </c>
      <c r="Y31" s="2526">
        <v>0</v>
      </c>
      <c r="Z31" s="2526">
        <v>0</v>
      </c>
      <c r="AA31" s="2518">
        <v>0</v>
      </c>
      <c r="AB31" s="2527">
        <v>0</v>
      </c>
      <c r="AC31" s="2526">
        <v>0</v>
      </c>
      <c r="AD31" s="2526">
        <v>0</v>
      </c>
      <c r="AE31" s="2526">
        <v>0</v>
      </c>
      <c r="AF31" s="2518">
        <f t="shared" si="11"/>
        <v>0</v>
      </c>
      <c r="AG31" s="2577">
        <v>0</v>
      </c>
      <c r="AH31" s="3014">
        <v>0</v>
      </c>
      <c r="AI31" s="3014">
        <v>0</v>
      </c>
      <c r="AJ31" s="3014">
        <v>0</v>
      </c>
      <c r="AK31" s="2518">
        <f t="shared" si="12"/>
        <v>0</v>
      </c>
      <c r="AM31" s="218"/>
    </row>
    <row r="32" spans="1:39" ht="14.25" customHeight="1">
      <c r="A32" s="4361"/>
      <c r="B32" s="2522" t="s">
        <v>1018</v>
      </c>
      <c r="C32" s="2523" t="s">
        <v>252</v>
      </c>
      <c r="D32" s="1337" t="s">
        <v>252</v>
      </c>
      <c r="E32" s="1337" t="s">
        <v>252</v>
      </c>
      <c r="F32" s="1337" t="s">
        <v>252</v>
      </c>
      <c r="G32" s="2524" t="s">
        <v>252</v>
      </c>
      <c r="H32" s="2525" t="s">
        <v>252</v>
      </c>
      <c r="I32" s="2526" t="s">
        <v>252</v>
      </c>
      <c r="J32" s="2526" t="s">
        <v>252</v>
      </c>
      <c r="K32" s="2526" t="s">
        <v>252</v>
      </c>
      <c r="L32" s="2516" t="s">
        <v>252</v>
      </c>
      <c r="M32" s="2527">
        <v>0</v>
      </c>
      <c r="N32" s="2526">
        <v>0</v>
      </c>
      <c r="O32" s="2526">
        <v>0</v>
      </c>
      <c r="P32" s="2526">
        <v>0</v>
      </c>
      <c r="Q32" s="2518">
        <v>0</v>
      </c>
      <c r="R32" s="2527">
        <v>0</v>
      </c>
      <c r="S32" s="2526">
        <v>0</v>
      </c>
      <c r="T32" s="2526">
        <v>0</v>
      </c>
      <c r="U32" s="2526">
        <v>0</v>
      </c>
      <c r="V32" s="2518">
        <v>0</v>
      </c>
      <c r="W32" s="2527">
        <v>0</v>
      </c>
      <c r="X32" s="2526">
        <v>0</v>
      </c>
      <c r="Y32" s="2526">
        <v>0</v>
      </c>
      <c r="Z32" s="2526">
        <v>0</v>
      </c>
      <c r="AA32" s="2518">
        <v>0</v>
      </c>
      <c r="AB32" s="2527">
        <v>0</v>
      </c>
      <c r="AC32" s="2526">
        <v>0</v>
      </c>
      <c r="AD32" s="2526">
        <v>0</v>
      </c>
      <c r="AE32" s="2526">
        <v>0</v>
      </c>
      <c r="AF32" s="2518">
        <f t="shared" si="11"/>
        <v>0</v>
      </c>
      <c r="AG32" s="2577">
        <v>0</v>
      </c>
      <c r="AH32" s="3014">
        <v>0</v>
      </c>
      <c r="AI32" s="3014">
        <v>0</v>
      </c>
      <c r="AJ32" s="3014">
        <v>0</v>
      </c>
      <c r="AK32" s="2518">
        <f t="shared" si="12"/>
        <v>0</v>
      </c>
    </row>
    <row r="33" spans="1:38" ht="14.25" customHeight="1">
      <c r="A33" s="4361"/>
      <c r="B33" s="2528" t="s">
        <v>1019</v>
      </c>
      <c r="C33" s="2523" t="s">
        <v>252</v>
      </c>
      <c r="D33" s="1337" t="s">
        <v>252</v>
      </c>
      <c r="E33" s="1337" t="s">
        <v>252</v>
      </c>
      <c r="F33" s="1337" t="s">
        <v>252</v>
      </c>
      <c r="G33" s="2524" t="s">
        <v>252</v>
      </c>
      <c r="H33" s="2525" t="s">
        <v>252</v>
      </c>
      <c r="I33" s="2526" t="s">
        <v>252</v>
      </c>
      <c r="J33" s="2526" t="s">
        <v>252</v>
      </c>
      <c r="K33" s="2526" t="s">
        <v>252</v>
      </c>
      <c r="L33" s="2516" t="s">
        <v>252</v>
      </c>
      <c r="M33" s="2527">
        <v>0</v>
      </c>
      <c r="N33" s="2526">
        <v>0</v>
      </c>
      <c r="O33" s="2526">
        <v>0</v>
      </c>
      <c r="P33" s="2526">
        <v>0</v>
      </c>
      <c r="Q33" s="2518">
        <v>0</v>
      </c>
      <c r="R33" s="2527">
        <v>0</v>
      </c>
      <c r="S33" s="2526">
        <v>0</v>
      </c>
      <c r="T33" s="2526">
        <v>0</v>
      </c>
      <c r="U33" s="2526">
        <v>0</v>
      </c>
      <c r="V33" s="2518">
        <v>0</v>
      </c>
      <c r="W33" s="2527">
        <v>0</v>
      </c>
      <c r="X33" s="2526">
        <v>20.9</v>
      </c>
      <c r="Y33" s="2526">
        <v>0</v>
      </c>
      <c r="Z33" s="2526">
        <v>0</v>
      </c>
      <c r="AA33" s="2518">
        <v>20.9</v>
      </c>
      <c r="AB33" s="2527">
        <f>2.18</f>
        <v>2.1800000000000002</v>
      </c>
      <c r="AC33" s="2526">
        <v>234.5</v>
      </c>
      <c r="AD33" s="2526">
        <v>0</v>
      </c>
      <c r="AE33" s="2526">
        <v>0</v>
      </c>
      <c r="AF33" s="2518">
        <f t="shared" si="11"/>
        <v>236.68</v>
      </c>
      <c r="AG33" s="2577">
        <v>2.06</v>
      </c>
      <c r="AH33" s="3014">
        <v>255.19</v>
      </c>
      <c r="AI33" s="3014">
        <v>0</v>
      </c>
      <c r="AJ33" s="3014">
        <v>0</v>
      </c>
      <c r="AK33" s="2518">
        <v>257.25</v>
      </c>
    </row>
    <row r="34" spans="1:38" ht="14.25" customHeight="1">
      <c r="A34" s="4361"/>
      <c r="B34" s="2522" t="s">
        <v>1020</v>
      </c>
      <c r="C34" s="2523" t="s">
        <v>252</v>
      </c>
      <c r="D34" s="1337" t="s">
        <v>252</v>
      </c>
      <c r="E34" s="1337" t="s">
        <v>252</v>
      </c>
      <c r="F34" s="1337" t="s">
        <v>252</v>
      </c>
      <c r="G34" s="2524" t="s">
        <v>252</v>
      </c>
      <c r="H34" s="2525" t="s">
        <v>252</v>
      </c>
      <c r="I34" s="2526" t="s">
        <v>252</v>
      </c>
      <c r="J34" s="2526" t="s">
        <v>252</v>
      </c>
      <c r="K34" s="2526" t="s">
        <v>252</v>
      </c>
      <c r="L34" s="2516" t="s">
        <v>252</v>
      </c>
      <c r="M34" s="2527">
        <v>0</v>
      </c>
      <c r="N34" s="2526">
        <v>0</v>
      </c>
      <c r="O34" s="2526">
        <v>0</v>
      </c>
      <c r="P34" s="2526">
        <v>0</v>
      </c>
      <c r="Q34" s="2518">
        <v>0</v>
      </c>
      <c r="R34" s="2527">
        <v>10.515000000000001</v>
      </c>
      <c r="S34" s="2526">
        <v>0</v>
      </c>
      <c r="T34" s="2526">
        <v>0</v>
      </c>
      <c r="U34" s="2526">
        <v>0</v>
      </c>
      <c r="V34" s="2518">
        <v>10.515000000000001</v>
      </c>
      <c r="W34" s="2527">
        <v>0</v>
      </c>
      <c r="X34" s="2526">
        <v>0</v>
      </c>
      <c r="Y34" s="2526">
        <v>0</v>
      </c>
      <c r="Z34" s="2526">
        <v>0</v>
      </c>
      <c r="AA34" s="2518">
        <v>0</v>
      </c>
      <c r="AB34" s="2527">
        <v>2.5000000000000001E-2</v>
      </c>
      <c r="AC34" s="2526">
        <v>0</v>
      </c>
      <c r="AD34" s="2526">
        <v>0</v>
      </c>
      <c r="AE34" s="2526">
        <v>0</v>
      </c>
      <c r="AF34" s="2518">
        <f t="shared" si="11"/>
        <v>2.5000000000000001E-2</v>
      </c>
      <c r="AG34" s="2577">
        <v>0</v>
      </c>
      <c r="AH34" s="3014">
        <v>0</v>
      </c>
      <c r="AI34" s="3014">
        <v>0</v>
      </c>
      <c r="AJ34" s="3014">
        <v>0</v>
      </c>
      <c r="AK34" s="2518">
        <f t="shared" si="12"/>
        <v>0</v>
      </c>
    </row>
    <row r="35" spans="1:38" ht="14.25" customHeight="1">
      <c r="A35" s="4361"/>
      <c r="B35" s="2522" t="s">
        <v>1021</v>
      </c>
      <c r="C35" s="2523" t="s">
        <v>252</v>
      </c>
      <c r="D35" s="1337" t="s">
        <v>252</v>
      </c>
      <c r="E35" s="1337" t="s">
        <v>252</v>
      </c>
      <c r="F35" s="1337" t="s">
        <v>252</v>
      </c>
      <c r="G35" s="2524" t="s">
        <v>252</v>
      </c>
      <c r="H35" s="2525" t="s">
        <v>252</v>
      </c>
      <c r="I35" s="2526" t="s">
        <v>252</v>
      </c>
      <c r="J35" s="2526" t="s">
        <v>252</v>
      </c>
      <c r="K35" s="2526" t="s">
        <v>252</v>
      </c>
      <c r="L35" s="2516" t="s">
        <v>252</v>
      </c>
      <c r="M35" s="2527">
        <v>0</v>
      </c>
      <c r="N35" s="2526">
        <v>5.9</v>
      </c>
      <c r="O35" s="2526">
        <v>0</v>
      </c>
      <c r="P35" s="2526">
        <v>0</v>
      </c>
      <c r="Q35" s="2518">
        <v>5.9</v>
      </c>
      <c r="R35" s="2527">
        <v>0</v>
      </c>
      <c r="S35" s="2526">
        <v>88.14</v>
      </c>
      <c r="T35" s="2526">
        <v>0</v>
      </c>
      <c r="U35" s="2526">
        <v>0</v>
      </c>
      <c r="V35" s="2518">
        <v>88.14</v>
      </c>
      <c r="W35" s="2527">
        <v>0</v>
      </c>
      <c r="X35" s="2526">
        <v>174.5</v>
      </c>
      <c r="Y35" s="2526">
        <v>0</v>
      </c>
      <c r="Z35" s="2526">
        <v>0</v>
      </c>
      <c r="AA35" s="2518">
        <v>174.5</v>
      </c>
      <c r="AB35" s="2527">
        <v>0</v>
      </c>
      <c r="AC35" s="2526">
        <v>0</v>
      </c>
      <c r="AD35" s="2526">
        <v>0</v>
      </c>
      <c r="AE35" s="2526">
        <v>0</v>
      </c>
      <c r="AF35" s="2518">
        <f t="shared" si="11"/>
        <v>0</v>
      </c>
      <c r="AG35" s="2577">
        <v>0</v>
      </c>
      <c r="AH35" s="3014">
        <v>0</v>
      </c>
      <c r="AI35" s="3014">
        <v>0</v>
      </c>
      <c r="AJ35" s="3014">
        <v>0</v>
      </c>
      <c r="AK35" s="2518">
        <f t="shared" si="12"/>
        <v>0</v>
      </c>
    </row>
    <row r="36" spans="1:38" ht="14.25" customHeight="1">
      <c r="A36" s="4361"/>
      <c r="B36" s="2522" t="s">
        <v>1022</v>
      </c>
      <c r="C36" s="2523" t="s">
        <v>252</v>
      </c>
      <c r="D36" s="1337" t="s">
        <v>252</v>
      </c>
      <c r="E36" s="1337" t="s">
        <v>252</v>
      </c>
      <c r="F36" s="1337" t="s">
        <v>252</v>
      </c>
      <c r="G36" s="2524" t="s">
        <v>252</v>
      </c>
      <c r="H36" s="2525" t="s">
        <v>252</v>
      </c>
      <c r="I36" s="2526" t="s">
        <v>252</v>
      </c>
      <c r="J36" s="2526" t="s">
        <v>252</v>
      </c>
      <c r="K36" s="2526" t="s">
        <v>252</v>
      </c>
      <c r="L36" s="2516" t="s">
        <v>252</v>
      </c>
      <c r="M36" s="2527">
        <v>0</v>
      </c>
      <c r="N36" s="2526">
        <v>0</v>
      </c>
      <c r="O36" s="2526">
        <v>0</v>
      </c>
      <c r="P36" s="2526">
        <v>0</v>
      </c>
      <c r="Q36" s="2518">
        <v>0</v>
      </c>
      <c r="R36" s="2527">
        <v>0</v>
      </c>
      <c r="S36" s="2526">
        <v>0</v>
      </c>
      <c r="T36" s="2526">
        <v>0</v>
      </c>
      <c r="U36" s="2526">
        <v>0</v>
      </c>
      <c r="V36" s="2518">
        <v>0</v>
      </c>
      <c r="W36" s="2527">
        <v>0</v>
      </c>
      <c r="X36" s="2526">
        <v>0</v>
      </c>
      <c r="Y36" s="2526">
        <v>0</v>
      </c>
      <c r="Z36" s="2526">
        <v>0</v>
      </c>
      <c r="AA36" s="2518">
        <v>0</v>
      </c>
      <c r="AB36" s="2527">
        <v>0</v>
      </c>
      <c r="AC36" s="2526">
        <v>0</v>
      </c>
      <c r="AD36" s="2526">
        <v>0</v>
      </c>
      <c r="AE36" s="2526">
        <v>0</v>
      </c>
      <c r="AF36" s="2518">
        <f t="shared" si="11"/>
        <v>0</v>
      </c>
      <c r="AG36" s="2577">
        <v>0</v>
      </c>
      <c r="AH36" s="3014">
        <v>0</v>
      </c>
      <c r="AI36" s="3014">
        <v>0</v>
      </c>
      <c r="AJ36" s="3014">
        <v>0</v>
      </c>
      <c r="AK36" s="2518">
        <f t="shared" si="12"/>
        <v>0</v>
      </c>
    </row>
    <row r="37" spans="1:38" ht="14.25" customHeight="1">
      <c r="A37" s="4361"/>
      <c r="B37" s="2522" t="s">
        <v>1023</v>
      </c>
      <c r="C37" s="2523" t="s">
        <v>252</v>
      </c>
      <c r="D37" s="1337" t="s">
        <v>252</v>
      </c>
      <c r="E37" s="1337" t="s">
        <v>252</v>
      </c>
      <c r="F37" s="1337" t="s">
        <v>252</v>
      </c>
      <c r="G37" s="2524" t="s">
        <v>252</v>
      </c>
      <c r="H37" s="2525" t="s">
        <v>252</v>
      </c>
      <c r="I37" s="2526" t="s">
        <v>252</v>
      </c>
      <c r="J37" s="2526" t="s">
        <v>252</v>
      </c>
      <c r="K37" s="2526" t="s">
        <v>252</v>
      </c>
      <c r="L37" s="2516" t="s">
        <v>252</v>
      </c>
      <c r="M37" s="2527">
        <v>0</v>
      </c>
      <c r="N37" s="2526">
        <v>0</v>
      </c>
      <c r="O37" s="2526">
        <v>0</v>
      </c>
      <c r="P37" s="2526">
        <v>0</v>
      </c>
      <c r="Q37" s="2518">
        <v>0</v>
      </c>
      <c r="R37" s="2527">
        <v>0</v>
      </c>
      <c r="S37" s="2526">
        <v>0</v>
      </c>
      <c r="T37" s="2526">
        <v>0</v>
      </c>
      <c r="U37" s="2526">
        <v>0</v>
      </c>
      <c r="V37" s="2518">
        <v>0</v>
      </c>
      <c r="W37" s="2527">
        <v>0</v>
      </c>
      <c r="X37" s="2526">
        <v>0</v>
      </c>
      <c r="Y37" s="2526">
        <v>0</v>
      </c>
      <c r="Z37" s="2526">
        <v>0</v>
      </c>
      <c r="AA37" s="2518">
        <v>0</v>
      </c>
      <c r="AB37" s="2527">
        <v>0</v>
      </c>
      <c r="AC37" s="2526">
        <v>0</v>
      </c>
      <c r="AD37" s="2526">
        <v>0</v>
      </c>
      <c r="AE37" s="2526">
        <v>0</v>
      </c>
      <c r="AF37" s="2518">
        <f t="shared" si="11"/>
        <v>0</v>
      </c>
      <c r="AG37" s="2577">
        <v>0</v>
      </c>
      <c r="AH37" s="3014">
        <v>0</v>
      </c>
      <c r="AI37" s="3014">
        <v>0</v>
      </c>
      <c r="AJ37" s="3014">
        <v>0</v>
      </c>
      <c r="AK37" s="2518">
        <f t="shared" si="12"/>
        <v>0</v>
      </c>
    </row>
    <row r="38" spans="1:38" s="213" customFormat="1" ht="14.25" customHeight="1">
      <c r="A38" s="4361"/>
      <c r="B38" s="2529" t="s">
        <v>620</v>
      </c>
      <c r="C38" s="2530" t="s">
        <v>252</v>
      </c>
      <c r="D38" s="2531" t="s">
        <v>252</v>
      </c>
      <c r="E38" s="2531" t="s">
        <v>252</v>
      </c>
      <c r="F38" s="2531" t="s">
        <v>252</v>
      </c>
      <c r="G38" s="2532" t="s">
        <v>252</v>
      </c>
      <c r="H38" s="2533" t="s">
        <v>252</v>
      </c>
      <c r="I38" s="2533" t="s">
        <v>252</v>
      </c>
      <c r="J38" s="2533" t="s">
        <v>252</v>
      </c>
      <c r="K38" s="2533" t="s">
        <v>252</v>
      </c>
      <c r="L38" s="2534" t="s">
        <v>252</v>
      </c>
      <c r="M38" s="2535">
        <v>143.19999999999999</v>
      </c>
      <c r="N38" s="2536">
        <v>5.9</v>
      </c>
      <c r="O38" s="2536">
        <v>0</v>
      </c>
      <c r="P38" s="2536">
        <v>0</v>
      </c>
      <c r="Q38" s="2537">
        <f>SUM(Q27:Q37)</f>
        <v>149.1</v>
      </c>
      <c r="R38" s="2535">
        <v>156.01499999999999</v>
      </c>
      <c r="S38" s="2536">
        <v>88.14</v>
      </c>
      <c r="T38" s="2536">
        <v>0</v>
      </c>
      <c r="U38" s="2536">
        <v>0</v>
      </c>
      <c r="V38" s="2537">
        <f t="shared" ref="V38:AJ38" si="13">SUM(V27:V37)</f>
        <v>244.15499999999997</v>
      </c>
      <c r="W38" s="2535">
        <f t="shared" si="13"/>
        <v>312.35000000000002</v>
      </c>
      <c r="X38" s="2536">
        <f t="shared" si="13"/>
        <v>195.4</v>
      </c>
      <c r="Y38" s="2536">
        <f t="shared" si="13"/>
        <v>12.1</v>
      </c>
      <c r="Z38" s="2536">
        <f t="shared" si="13"/>
        <v>0</v>
      </c>
      <c r="AA38" s="2537">
        <f t="shared" si="13"/>
        <v>519.84999999999991</v>
      </c>
      <c r="AB38" s="2535">
        <f t="shared" ref="AB38:AE38" si="14">SUM(AB27:AB37)</f>
        <v>294.06</v>
      </c>
      <c r="AC38" s="2536">
        <f t="shared" si="14"/>
        <v>234.5</v>
      </c>
      <c r="AD38" s="2536">
        <f t="shared" si="14"/>
        <v>18.977999999999998</v>
      </c>
      <c r="AE38" s="2536">
        <f t="shared" si="14"/>
        <v>0</v>
      </c>
      <c r="AF38" s="2537">
        <f>SUM(AF27:AF37)</f>
        <v>547.53800000000001</v>
      </c>
      <c r="AG38" s="2535">
        <f t="shared" si="13"/>
        <v>295.19</v>
      </c>
      <c r="AH38" s="2536">
        <f t="shared" si="13"/>
        <v>255.19</v>
      </c>
      <c r="AI38" s="2536">
        <f t="shared" si="13"/>
        <v>7.09</v>
      </c>
      <c r="AJ38" s="2536">
        <f t="shared" si="13"/>
        <v>0</v>
      </c>
      <c r="AK38" s="2537">
        <f>SUM(AK27:AK37)</f>
        <v>560.39</v>
      </c>
    </row>
    <row r="39" spans="1:38" s="213" customFormat="1" ht="15" customHeight="1" thickBot="1">
      <c r="A39" s="4362"/>
      <c r="B39" s="2538" t="s">
        <v>1024</v>
      </c>
      <c r="C39" s="2539" t="s">
        <v>252</v>
      </c>
      <c r="D39" s="2540" t="s">
        <v>252</v>
      </c>
      <c r="E39" s="2540" t="s">
        <v>252</v>
      </c>
      <c r="F39" s="2540" t="s">
        <v>252</v>
      </c>
      <c r="G39" s="2541" t="s">
        <v>252</v>
      </c>
      <c r="H39" s="2542" t="s">
        <v>252</v>
      </c>
      <c r="I39" s="2542" t="s">
        <v>252</v>
      </c>
      <c r="J39" s="2542" t="s">
        <v>252</v>
      </c>
      <c r="K39" s="2542" t="s">
        <v>252</v>
      </c>
      <c r="L39" s="2542" t="s">
        <v>252</v>
      </c>
      <c r="M39" s="2543">
        <v>143.19999999999999</v>
      </c>
      <c r="N39" s="2544">
        <v>0</v>
      </c>
      <c r="O39" s="2544">
        <v>0</v>
      </c>
      <c r="P39" s="2544">
        <v>0</v>
      </c>
      <c r="Q39" s="2545">
        <v>143.19999999999999</v>
      </c>
      <c r="R39" s="2543">
        <v>145.5</v>
      </c>
      <c r="S39" s="2544">
        <v>0</v>
      </c>
      <c r="T39" s="2544">
        <v>0</v>
      </c>
      <c r="U39" s="2544">
        <v>0</v>
      </c>
      <c r="V39" s="2545">
        <v>145.5</v>
      </c>
      <c r="W39" s="2543">
        <f t="shared" ref="W39:AJ39" si="15">SUM(W27:W32)</f>
        <v>312.35000000000002</v>
      </c>
      <c r="X39" s="2544">
        <f t="shared" si="15"/>
        <v>0</v>
      </c>
      <c r="Y39" s="2544">
        <f t="shared" si="15"/>
        <v>12.1</v>
      </c>
      <c r="Z39" s="2544">
        <f t="shared" si="15"/>
        <v>0</v>
      </c>
      <c r="AA39" s="2545">
        <f t="shared" si="15"/>
        <v>324.45</v>
      </c>
      <c r="AB39" s="2546">
        <f>SUM(AB27:AB32)</f>
        <v>291.85500000000002</v>
      </c>
      <c r="AC39" s="2547">
        <f t="shared" ref="AC39:AE39" si="16">SUM(AC27:AC32)</f>
        <v>0</v>
      </c>
      <c r="AD39" s="2547">
        <f t="shared" si="16"/>
        <v>18.977999999999998</v>
      </c>
      <c r="AE39" s="2547">
        <f t="shared" si="16"/>
        <v>0</v>
      </c>
      <c r="AF39" s="2548">
        <f>SUM(AF27:AF32)</f>
        <v>310.83300000000003</v>
      </c>
      <c r="AG39" s="2546">
        <f>SUM(AG27:AG32)</f>
        <v>293.13</v>
      </c>
      <c r="AH39" s="2547">
        <f t="shared" si="15"/>
        <v>0</v>
      </c>
      <c r="AI39" s="2547">
        <f t="shared" si="15"/>
        <v>7.09</v>
      </c>
      <c r="AJ39" s="2547">
        <f t="shared" si="15"/>
        <v>0</v>
      </c>
      <c r="AK39" s="2548">
        <f>SUM(AK27:AK32)</f>
        <v>303.14</v>
      </c>
      <c r="AL39" s="1280"/>
    </row>
    <row r="40" spans="1:38">
      <c r="A40" s="4358" t="s">
        <v>279</v>
      </c>
      <c r="B40" s="2511" t="s">
        <v>1013</v>
      </c>
      <c r="C40" s="2549" t="s">
        <v>252</v>
      </c>
      <c r="D40" s="2550" t="s">
        <v>252</v>
      </c>
      <c r="E40" s="2550" t="s">
        <v>252</v>
      </c>
      <c r="F40" s="2550" t="s">
        <v>252</v>
      </c>
      <c r="G40" s="2551" t="s">
        <v>252</v>
      </c>
      <c r="H40" s="2552" t="s">
        <v>252</v>
      </c>
      <c r="I40" s="2515" t="s">
        <v>252</v>
      </c>
      <c r="J40" s="2553" t="s">
        <v>252</v>
      </c>
      <c r="K40" s="2553" t="s">
        <v>252</v>
      </c>
      <c r="L40" s="2516" t="s">
        <v>252</v>
      </c>
      <c r="M40" s="2519">
        <v>0</v>
      </c>
      <c r="N40" s="2520">
        <v>0</v>
      </c>
      <c r="O40" s="2520">
        <v>0</v>
      </c>
      <c r="P40" s="2520">
        <v>0</v>
      </c>
      <c r="Q40" s="2521">
        <v>0</v>
      </c>
      <c r="R40" s="2519">
        <v>0</v>
      </c>
      <c r="S40" s="2520">
        <v>0</v>
      </c>
      <c r="T40" s="2520">
        <v>0</v>
      </c>
      <c r="U40" s="2520">
        <v>0</v>
      </c>
      <c r="V40" s="2521">
        <v>0</v>
      </c>
      <c r="W40" s="2519">
        <v>0</v>
      </c>
      <c r="X40" s="2520">
        <v>0</v>
      </c>
      <c r="Y40" s="2520">
        <v>0</v>
      </c>
      <c r="Z40" s="2520">
        <v>0</v>
      </c>
      <c r="AA40" s="2521">
        <v>0</v>
      </c>
      <c r="AB40" s="2517">
        <v>0</v>
      </c>
      <c r="AC40" s="2515">
        <v>0</v>
      </c>
      <c r="AD40" s="2515">
        <v>0</v>
      </c>
      <c r="AE40" s="2515">
        <v>0</v>
      </c>
      <c r="AF40" s="2518">
        <f t="shared" ref="AF40:AF50" si="17">SUM(AB40:AE40)</f>
        <v>0</v>
      </c>
      <c r="AG40" s="2574">
        <v>0</v>
      </c>
      <c r="AH40" s="3015">
        <v>0</v>
      </c>
      <c r="AI40" s="3015">
        <v>0</v>
      </c>
      <c r="AJ40" s="3015">
        <v>0</v>
      </c>
      <c r="AK40" s="2518">
        <f t="shared" ref="AK40:AK50" si="18">SUM(AG40:AJ40)</f>
        <v>0</v>
      </c>
    </row>
    <row r="41" spans="1:38" ht="14.25" customHeight="1">
      <c r="A41" s="4359"/>
      <c r="B41" s="2522" t="s">
        <v>1014</v>
      </c>
      <c r="C41" s="2523" t="s">
        <v>252</v>
      </c>
      <c r="D41" s="1337" t="s">
        <v>252</v>
      </c>
      <c r="E41" s="1337" t="s">
        <v>252</v>
      </c>
      <c r="F41" s="1337" t="s">
        <v>252</v>
      </c>
      <c r="G41" s="2314" t="s">
        <v>252</v>
      </c>
      <c r="H41" s="2525" t="s">
        <v>252</v>
      </c>
      <c r="I41" s="2526" t="s">
        <v>252</v>
      </c>
      <c r="J41" s="2526" t="s">
        <v>252</v>
      </c>
      <c r="K41" s="2526" t="s">
        <v>252</v>
      </c>
      <c r="L41" s="2516" t="s">
        <v>252</v>
      </c>
      <c r="M41" s="2527">
        <v>512.0329999999999</v>
      </c>
      <c r="N41" s="2526">
        <v>0</v>
      </c>
      <c r="O41" s="2526">
        <v>7.8094999999999999</v>
      </c>
      <c r="P41" s="2526">
        <v>0</v>
      </c>
      <c r="Q41" s="2518">
        <v>519.84249999999986</v>
      </c>
      <c r="R41" s="2527">
        <v>925.12599999999986</v>
      </c>
      <c r="S41" s="2526">
        <v>0</v>
      </c>
      <c r="T41" s="2526">
        <v>14.679500000000001</v>
      </c>
      <c r="U41" s="2526">
        <v>0.22</v>
      </c>
      <c r="V41" s="2518">
        <v>940.02549999999985</v>
      </c>
      <c r="W41" s="2527">
        <v>1687.3749629999993</v>
      </c>
      <c r="X41" s="2526">
        <v>0</v>
      </c>
      <c r="Y41" s="2526">
        <v>27.292000000000002</v>
      </c>
      <c r="Z41" s="2526">
        <v>0</v>
      </c>
      <c r="AA41" s="2518">
        <v>1714.6669629999992</v>
      </c>
      <c r="AB41" s="2527">
        <v>2263.9</v>
      </c>
      <c r="AC41" s="2526">
        <v>0</v>
      </c>
      <c r="AD41" s="2526">
        <v>18.2</v>
      </c>
      <c r="AE41" s="2526">
        <v>0</v>
      </c>
      <c r="AF41" s="2518">
        <f t="shared" si="17"/>
        <v>2282.1</v>
      </c>
      <c r="AG41" s="2577">
        <v>2443.8200000000002</v>
      </c>
      <c r="AH41" s="3014">
        <v>0</v>
      </c>
      <c r="AI41" s="3014">
        <v>17.86</v>
      </c>
      <c r="AJ41" s="3014">
        <v>0</v>
      </c>
      <c r="AK41" s="2518">
        <f t="shared" si="18"/>
        <v>2461.6800000000003</v>
      </c>
      <c r="AL41" s="1281"/>
    </row>
    <row r="42" spans="1:38" ht="14.25" customHeight="1">
      <c r="A42" s="4359"/>
      <c r="B42" s="2522" t="s">
        <v>1015</v>
      </c>
      <c r="C42" s="2523" t="s">
        <v>252</v>
      </c>
      <c r="D42" s="1337" t="s">
        <v>252</v>
      </c>
      <c r="E42" s="1337" t="s">
        <v>252</v>
      </c>
      <c r="F42" s="1337" t="s">
        <v>252</v>
      </c>
      <c r="G42" s="2314" t="s">
        <v>252</v>
      </c>
      <c r="H42" s="2525" t="s">
        <v>252</v>
      </c>
      <c r="I42" s="2526" t="s">
        <v>252</v>
      </c>
      <c r="J42" s="2526" t="s">
        <v>252</v>
      </c>
      <c r="K42" s="2526" t="s">
        <v>252</v>
      </c>
      <c r="L42" s="2516" t="s">
        <v>252</v>
      </c>
      <c r="M42" s="2527">
        <v>556.69363499999974</v>
      </c>
      <c r="N42" s="2526">
        <v>0</v>
      </c>
      <c r="O42" s="2526">
        <v>0</v>
      </c>
      <c r="P42" s="2526">
        <v>0</v>
      </c>
      <c r="Q42" s="2518">
        <v>556.69363499999974</v>
      </c>
      <c r="R42" s="2527">
        <v>682.64350800000034</v>
      </c>
      <c r="S42" s="2526">
        <v>0</v>
      </c>
      <c r="T42" s="2526">
        <v>0</v>
      </c>
      <c r="U42" s="2526">
        <v>0</v>
      </c>
      <c r="V42" s="2518">
        <v>682.64350800000034</v>
      </c>
      <c r="W42" s="2527">
        <v>1479.9330295880006</v>
      </c>
      <c r="X42" s="2526">
        <v>0</v>
      </c>
      <c r="Y42" s="2526">
        <v>0</v>
      </c>
      <c r="Z42" s="2526">
        <v>0</v>
      </c>
      <c r="AA42" s="2518">
        <v>1479.9330295880006</v>
      </c>
      <c r="AB42" s="2527">
        <v>0</v>
      </c>
      <c r="AC42" s="2526">
        <v>0</v>
      </c>
      <c r="AD42" s="2526">
        <v>0</v>
      </c>
      <c r="AE42" s="2526">
        <v>0</v>
      </c>
      <c r="AF42" s="2518">
        <f t="shared" si="17"/>
        <v>0</v>
      </c>
      <c r="AG42" s="2577">
        <v>0</v>
      </c>
      <c r="AH42" s="3014">
        <v>0</v>
      </c>
      <c r="AI42" s="3014">
        <v>0</v>
      </c>
      <c r="AJ42" s="3014">
        <v>0</v>
      </c>
      <c r="AK42" s="2518">
        <f t="shared" si="18"/>
        <v>0</v>
      </c>
    </row>
    <row r="43" spans="1:38" ht="14.25" customHeight="1">
      <c r="A43" s="4359"/>
      <c r="B43" s="2528" t="s">
        <v>1016</v>
      </c>
      <c r="C43" s="2523" t="s">
        <v>252</v>
      </c>
      <c r="D43" s="1337" t="s">
        <v>252</v>
      </c>
      <c r="E43" s="1337" t="s">
        <v>252</v>
      </c>
      <c r="F43" s="1337" t="s">
        <v>252</v>
      </c>
      <c r="G43" s="2314" t="s">
        <v>252</v>
      </c>
      <c r="H43" s="2525" t="s">
        <v>252</v>
      </c>
      <c r="I43" s="2526" t="s">
        <v>252</v>
      </c>
      <c r="J43" s="2526" t="s">
        <v>252</v>
      </c>
      <c r="K43" s="2526" t="s">
        <v>252</v>
      </c>
      <c r="L43" s="2516" t="s">
        <v>252</v>
      </c>
      <c r="M43" s="2527">
        <v>7.6800000000000015</v>
      </c>
      <c r="N43" s="2526">
        <v>0</v>
      </c>
      <c r="O43" s="2526">
        <v>5.2700000000000005</v>
      </c>
      <c r="P43" s="2526">
        <v>35.17</v>
      </c>
      <c r="Q43" s="2518">
        <v>48.120000000000005</v>
      </c>
      <c r="R43" s="2527">
        <v>92.240000000000009</v>
      </c>
      <c r="S43" s="2526">
        <v>0</v>
      </c>
      <c r="T43" s="2526">
        <v>10.254999999999999</v>
      </c>
      <c r="U43" s="2526">
        <v>39.07</v>
      </c>
      <c r="V43" s="2518">
        <v>141.565</v>
      </c>
      <c r="W43" s="2527">
        <v>343.11</v>
      </c>
      <c r="X43" s="2526">
        <v>0</v>
      </c>
      <c r="Y43" s="2526">
        <v>2.3350000000000004</v>
      </c>
      <c r="Z43" s="2526">
        <v>37.93</v>
      </c>
      <c r="AA43" s="2518">
        <v>383.375</v>
      </c>
      <c r="AB43" s="2527">
        <v>3594.552686</v>
      </c>
      <c r="AC43" s="2526">
        <v>0</v>
      </c>
      <c r="AD43" s="2526">
        <v>3.9980000000000002</v>
      </c>
      <c r="AE43" s="2526">
        <v>51.59</v>
      </c>
      <c r="AF43" s="2518">
        <f t="shared" si="17"/>
        <v>3650.1406860000002</v>
      </c>
      <c r="AG43" s="2577">
        <v>3482.03</v>
      </c>
      <c r="AH43" s="3014">
        <v>0</v>
      </c>
      <c r="AI43" s="3014">
        <v>0</v>
      </c>
      <c r="AJ43" s="3014">
        <v>1561.4</v>
      </c>
      <c r="AK43" s="2518">
        <f t="shared" si="18"/>
        <v>5043.43</v>
      </c>
    </row>
    <row r="44" spans="1:38" ht="14.25" customHeight="1">
      <c r="A44" s="4359"/>
      <c r="B44" s="2522" t="s">
        <v>1017</v>
      </c>
      <c r="C44" s="2523" t="s">
        <v>252</v>
      </c>
      <c r="D44" s="1337" t="s">
        <v>252</v>
      </c>
      <c r="E44" s="1337" t="s">
        <v>252</v>
      </c>
      <c r="F44" s="1337" t="s">
        <v>252</v>
      </c>
      <c r="G44" s="2314" t="s">
        <v>252</v>
      </c>
      <c r="H44" s="2525" t="s">
        <v>252</v>
      </c>
      <c r="I44" s="2526" t="s">
        <v>252</v>
      </c>
      <c r="J44" s="2526" t="s">
        <v>252</v>
      </c>
      <c r="K44" s="2526" t="s">
        <v>252</v>
      </c>
      <c r="L44" s="2516" t="s">
        <v>252</v>
      </c>
      <c r="M44" s="2527">
        <v>0</v>
      </c>
      <c r="N44" s="2526">
        <v>0</v>
      </c>
      <c r="O44" s="2526">
        <v>0</v>
      </c>
      <c r="P44" s="2526">
        <v>0</v>
      </c>
      <c r="Q44" s="2518">
        <v>0</v>
      </c>
      <c r="R44" s="2527">
        <v>0</v>
      </c>
      <c r="S44" s="2526">
        <v>0</v>
      </c>
      <c r="T44" s="2526">
        <v>0</v>
      </c>
      <c r="U44" s="2526">
        <v>0</v>
      </c>
      <c r="V44" s="2518">
        <v>0</v>
      </c>
      <c r="W44" s="2527">
        <v>0</v>
      </c>
      <c r="X44" s="2526">
        <v>0</v>
      </c>
      <c r="Y44" s="2526">
        <v>0</v>
      </c>
      <c r="Z44" s="2526">
        <v>0</v>
      </c>
      <c r="AA44" s="2518">
        <v>0</v>
      </c>
      <c r="AB44" s="2527">
        <v>0</v>
      </c>
      <c r="AC44" s="2526">
        <v>0</v>
      </c>
      <c r="AD44" s="2526">
        <v>0</v>
      </c>
      <c r="AE44" s="2526">
        <v>0</v>
      </c>
      <c r="AF44" s="2518">
        <f t="shared" si="17"/>
        <v>0</v>
      </c>
      <c r="AG44" s="2577">
        <v>15</v>
      </c>
      <c r="AH44" s="3014">
        <v>0</v>
      </c>
      <c r="AI44" s="3014">
        <v>0</v>
      </c>
      <c r="AJ44" s="3014">
        <v>0</v>
      </c>
      <c r="AK44" s="2518">
        <f t="shared" si="18"/>
        <v>15</v>
      </c>
    </row>
    <row r="45" spans="1:38" ht="14.25" customHeight="1">
      <c r="A45" s="4359"/>
      <c r="B45" s="2522" t="s">
        <v>1018</v>
      </c>
      <c r="C45" s="2523" t="s">
        <v>252</v>
      </c>
      <c r="D45" s="1337" t="s">
        <v>252</v>
      </c>
      <c r="E45" s="1337" t="s">
        <v>252</v>
      </c>
      <c r="F45" s="1337" t="s">
        <v>252</v>
      </c>
      <c r="G45" s="2314" t="s">
        <v>252</v>
      </c>
      <c r="H45" s="2525" t="s">
        <v>252</v>
      </c>
      <c r="I45" s="2526" t="s">
        <v>252</v>
      </c>
      <c r="J45" s="2526" t="s">
        <v>252</v>
      </c>
      <c r="K45" s="2526" t="s">
        <v>252</v>
      </c>
      <c r="L45" s="2516" t="s">
        <v>252</v>
      </c>
      <c r="M45" s="2527">
        <v>13.46</v>
      </c>
      <c r="N45" s="2526">
        <v>0</v>
      </c>
      <c r="O45" s="2526">
        <v>0</v>
      </c>
      <c r="P45" s="2526">
        <v>0</v>
      </c>
      <c r="Q45" s="2518">
        <v>13.46</v>
      </c>
      <c r="R45" s="2527">
        <v>13.4</v>
      </c>
      <c r="S45" s="2526">
        <v>0</v>
      </c>
      <c r="T45" s="2526">
        <v>0</v>
      </c>
      <c r="U45" s="2526">
        <v>0</v>
      </c>
      <c r="V45" s="2518">
        <v>13.4</v>
      </c>
      <c r="W45" s="2527">
        <v>7.9600000000000009</v>
      </c>
      <c r="X45" s="2526">
        <v>0</v>
      </c>
      <c r="Y45" s="2526">
        <v>0</v>
      </c>
      <c r="Z45" s="2526">
        <v>0</v>
      </c>
      <c r="AA45" s="2518">
        <v>7.9600000000000009</v>
      </c>
      <c r="AB45" s="2527">
        <v>0</v>
      </c>
      <c r="AC45" s="2526">
        <v>0</v>
      </c>
      <c r="AD45" s="2526">
        <v>0</v>
      </c>
      <c r="AE45" s="2526">
        <v>0</v>
      </c>
      <c r="AF45" s="2518">
        <f t="shared" si="17"/>
        <v>0</v>
      </c>
      <c r="AG45" s="2577">
        <v>0</v>
      </c>
      <c r="AH45" s="3014">
        <v>0</v>
      </c>
      <c r="AI45" s="3014">
        <v>0</v>
      </c>
      <c r="AJ45" s="3014">
        <v>0</v>
      </c>
      <c r="AK45" s="2518">
        <f t="shared" si="18"/>
        <v>0</v>
      </c>
    </row>
    <row r="46" spans="1:38" ht="14.25" customHeight="1">
      <c r="A46" s="4359"/>
      <c r="B46" s="2528" t="s">
        <v>1019</v>
      </c>
      <c r="C46" s="2523" t="s">
        <v>252</v>
      </c>
      <c r="D46" s="1337" t="s">
        <v>252</v>
      </c>
      <c r="E46" s="1337" t="s">
        <v>252</v>
      </c>
      <c r="F46" s="1337" t="s">
        <v>252</v>
      </c>
      <c r="G46" s="2314" t="s">
        <v>252</v>
      </c>
      <c r="H46" s="2525" t="s">
        <v>252</v>
      </c>
      <c r="I46" s="2526" t="s">
        <v>252</v>
      </c>
      <c r="J46" s="2526" t="s">
        <v>252</v>
      </c>
      <c r="K46" s="2526" t="s">
        <v>252</v>
      </c>
      <c r="L46" s="2516" t="s">
        <v>252</v>
      </c>
      <c r="M46" s="2527">
        <v>528.39762099999996</v>
      </c>
      <c r="N46" s="2526">
        <v>0</v>
      </c>
      <c r="O46" s="2526">
        <v>0</v>
      </c>
      <c r="P46" s="2526">
        <v>0</v>
      </c>
      <c r="Q46" s="2518">
        <v>528.39762099999996</v>
      </c>
      <c r="R46" s="2527">
        <v>962.10681200000045</v>
      </c>
      <c r="S46" s="2526">
        <v>0</v>
      </c>
      <c r="T46" s="2526">
        <v>0</v>
      </c>
      <c r="U46" s="2526">
        <v>0</v>
      </c>
      <c r="V46" s="2518">
        <v>962.10681200000045</v>
      </c>
      <c r="W46" s="2527">
        <v>2056.4035889880006</v>
      </c>
      <c r="X46" s="2526">
        <v>0</v>
      </c>
      <c r="Y46" s="2526">
        <v>0</v>
      </c>
      <c r="Z46" s="2526">
        <v>0</v>
      </c>
      <c r="AA46" s="2518">
        <v>2056.4035889880006</v>
      </c>
      <c r="AB46" s="2527">
        <v>1.1200000000000001</v>
      </c>
      <c r="AC46" s="2526">
        <v>0</v>
      </c>
      <c r="AD46" s="2526">
        <v>0</v>
      </c>
      <c r="AE46" s="2526">
        <v>0</v>
      </c>
      <c r="AF46" s="2518">
        <f t="shared" si="17"/>
        <v>1.1200000000000001</v>
      </c>
      <c r="AG46" s="2577">
        <v>4.9400000000000004</v>
      </c>
      <c r="AH46" s="3014">
        <v>1976.38</v>
      </c>
      <c r="AI46" s="3014">
        <v>18.399999999999999</v>
      </c>
      <c r="AJ46" s="3014">
        <v>0</v>
      </c>
      <c r="AK46" s="2518">
        <f t="shared" si="18"/>
        <v>1999.7200000000003</v>
      </c>
    </row>
    <row r="47" spans="1:38" ht="14.25" customHeight="1">
      <c r="A47" s="4359"/>
      <c r="B47" s="2522" t="s">
        <v>1020</v>
      </c>
      <c r="C47" s="2523" t="s">
        <v>252</v>
      </c>
      <c r="D47" s="1337" t="s">
        <v>252</v>
      </c>
      <c r="E47" s="1337" t="s">
        <v>252</v>
      </c>
      <c r="F47" s="1337" t="s">
        <v>252</v>
      </c>
      <c r="G47" s="2314" t="s">
        <v>252</v>
      </c>
      <c r="H47" s="2525" t="s">
        <v>252</v>
      </c>
      <c r="I47" s="2526" t="s">
        <v>252</v>
      </c>
      <c r="J47" s="2526" t="s">
        <v>252</v>
      </c>
      <c r="K47" s="2526" t="s">
        <v>252</v>
      </c>
      <c r="L47" s="2516" t="s">
        <v>252</v>
      </c>
      <c r="M47" s="2527">
        <v>0</v>
      </c>
      <c r="N47" s="2526">
        <v>0</v>
      </c>
      <c r="O47" s="2526">
        <v>0</v>
      </c>
      <c r="P47" s="2526">
        <v>0</v>
      </c>
      <c r="Q47" s="2518">
        <v>0</v>
      </c>
      <c r="R47" s="2527">
        <v>0</v>
      </c>
      <c r="S47" s="2526">
        <v>0</v>
      </c>
      <c r="T47" s="2526">
        <v>0</v>
      </c>
      <c r="U47" s="2526">
        <v>0</v>
      </c>
      <c r="V47" s="2518">
        <v>0</v>
      </c>
      <c r="W47" s="2527">
        <v>0</v>
      </c>
      <c r="X47" s="2526">
        <v>0</v>
      </c>
      <c r="Y47" s="2526">
        <v>0</v>
      </c>
      <c r="Z47" s="2526">
        <v>0</v>
      </c>
      <c r="AA47" s="2518">
        <v>0</v>
      </c>
      <c r="AB47" s="2527">
        <v>0</v>
      </c>
      <c r="AC47" s="2526">
        <v>0</v>
      </c>
      <c r="AD47" s="2526">
        <v>0</v>
      </c>
      <c r="AE47" s="2526">
        <v>0</v>
      </c>
      <c r="AF47" s="2518">
        <f t="shared" si="17"/>
        <v>0</v>
      </c>
      <c r="AG47" s="2577">
        <v>0</v>
      </c>
      <c r="AH47" s="3014">
        <v>0</v>
      </c>
      <c r="AI47" s="3014">
        <v>0</v>
      </c>
      <c r="AJ47" s="3014">
        <v>0</v>
      </c>
      <c r="AK47" s="2518">
        <f t="shared" si="18"/>
        <v>0</v>
      </c>
    </row>
    <row r="48" spans="1:38" ht="14.25" customHeight="1">
      <c r="A48" s="4359"/>
      <c r="B48" s="2522" t="s">
        <v>1021</v>
      </c>
      <c r="C48" s="2523" t="s">
        <v>252</v>
      </c>
      <c r="D48" s="1337" t="s">
        <v>252</v>
      </c>
      <c r="E48" s="1337" t="s">
        <v>252</v>
      </c>
      <c r="F48" s="1337" t="s">
        <v>252</v>
      </c>
      <c r="G48" s="2314" t="s">
        <v>252</v>
      </c>
      <c r="H48" s="2525" t="s">
        <v>252</v>
      </c>
      <c r="I48" s="2526" t="s">
        <v>252</v>
      </c>
      <c r="J48" s="2526" t="s">
        <v>252</v>
      </c>
      <c r="K48" s="2526" t="s">
        <v>252</v>
      </c>
      <c r="L48" s="2516" t="s">
        <v>252</v>
      </c>
      <c r="M48" s="2527">
        <v>7.8132439999999983</v>
      </c>
      <c r="N48" s="2526">
        <v>254.71999999999997</v>
      </c>
      <c r="O48" s="2526">
        <v>0</v>
      </c>
      <c r="P48" s="2526">
        <v>0</v>
      </c>
      <c r="Q48" s="2518">
        <v>262.53324399999997</v>
      </c>
      <c r="R48" s="2527">
        <v>46.228680000000026</v>
      </c>
      <c r="S48" s="2526">
        <v>670.38</v>
      </c>
      <c r="T48" s="2526">
        <v>0</v>
      </c>
      <c r="U48" s="2526">
        <v>0</v>
      </c>
      <c r="V48" s="2518">
        <v>716.60868000000005</v>
      </c>
      <c r="W48" s="2527">
        <v>161.58077742400005</v>
      </c>
      <c r="X48" s="2526">
        <v>1744.7399339999999</v>
      </c>
      <c r="Y48" s="2526">
        <v>0</v>
      </c>
      <c r="Z48" s="2526">
        <v>0</v>
      </c>
      <c r="AA48" s="2518">
        <v>1906.3207114239999</v>
      </c>
      <c r="AB48" s="2527">
        <v>58.218637200000003</v>
      </c>
      <c r="AC48" s="2526">
        <v>1887.778908</v>
      </c>
      <c r="AD48" s="2526">
        <v>0</v>
      </c>
      <c r="AE48" s="2526">
        <v>0</v>
      </c>
      <c r="AF48" s="2518">
        <f t="shared" si="17"/>
        <v>1945.9975452000001</v>
      </c>
      <c r="AG48" s="2577">
        <v>0</v>
      </c>
      <c r="AH48" s="3014">
        <v>36.4</v>
      </c>
      <c r="AI48" s="3014">
        <v>0</v>
      </c>
      <c r="AJ48" s="3014">
        <v>0</v>
      </c>
      <c r="AK48" s="2518">
        <f t="shared" si="18"/>
        <v>36.4</v>
      </c>
      <c r="AL48" s="218"/>
    </row>
    <row r="49" spans="1:38" ht="14.25" customHeight="1">
      <c r="A49" s="4359"/>
      <c r="B49" s="2522" t="s">
        <v>1022</v>
      </c>
      <c r="C49" s="2523" t="s">
        <v>252</v>
      </c>
      <c r="D49" s="1337" t="s">
        <v>252</v>
      </c>
      <c r="E49" s="1337" t="s">
        <v>252</v>
      </c>
      <c r="F49" s="1337" t="s">
        <v>252</v>
      </c>
      <c r="G49" s="2314" t="s">
        <v>252</v>
      </c>
      <c r="H49" s="2525" t="s">
        <v>252</v>
      </c>
      <c r="I49" s="2526" t="s">
        <v>252</v>
      </c>
      <c r="J49" s="2526" t="s">
        <v>252</v>
      </c>
      <c r="K49" s="2526" t="s">
        <v>252</v>
      </c>
      <c r="L49" s="2516" t="s">
        <v>252</v>
      </c>
      <c r="M49" s="2527">
        <v>0</v>
      </c>
      <c r="N49" s="2526">
        <v>0</v>
      </c>
      <c r="O49" s="2526">
        <v>0</v>
      </c>
      <c r="P49" s="2526">
        <v>0</v>
      </c>
      <c r="Q49" s="2518">
        <v>0</v>
      </c>
      <c r="R49" s="2527">
        <v>0</v>
      </c>
      <c r="S49" s="2526">
        <v>0</v>
      </c>
      <c r="T49" s="2526">
        <v>0</v>
      </c>
      <c r="U49" s="2526">
        <v>0</v>
      </c>
      <c r="V49" s="2518">
        <v>0</v>
      </c>
      <c r="W49" s="2527">
        <v>0</v>
      </c>
      <c r="X49" s="2526">
        <v>0</v>
      </c>
      <c r="Y49" s="2526">
        <v>0</v>
      </c>
      <c r="Z49" s="2526">
        <v>0</v>
      </c>
      <c r="AA49" s="2518">
        <v>0</v>
      </c>
      <c r="AB49" s="2527">
        <v>0</v>
      </c>
      <c r="AC49" s="2526">
        <v>0</v>
      </c>
      <c r="AD49" s="2526">
        <v>0</v>
      </c>
      <c r="AE49" s="2526">
        <v>0</v>
      </c>
      <c r="AF49" s="2518">
        <f t="shared" si="17"/>
        <v>0</v>
      </c>
      <c r="AG49" s="2577">
        <v>0</v>
      </c>
      <c r="AH49" s="3014">
        <v>0</v>
      </c>
      <c r="AI49" s="3014">
        <v>0</v>
      </c>
      <c r="AJ49" s="3014">
        <v>0</v>
      </c>
      <c r="AK49" s="2518">
        <f t="shared" si="18"/>
        <v>0</v>
      </c>
    </row>
    <row r="50" spans="1:38" ht="14.25" customHeight="1">
      <c r="A50" s="4359"/>
      <c r="B50" s="2522" t="s">
        <v>1023</v>
      </c>
      <c r="C50" s="2523" t="s">
        <v>252</v>
      </c>
      <c r="D50" s="1337" t="s">
        <v>252</v>
      </c>
      <c r="E50" s="1337" t="s">
        <v>252</v>
      </c>
      <c r="F50" s="1337" t="s">
        <v>252</v>
      </c>
      <c r="G50" s="2314" t="s">
        <v>252</v>
      </c>
      <c r="H50" s="2525" t="s">
        <v>252</v>
      </c>
      <c r="I50" s="2526" t="s">
        <v>252</v>
      </c>
      <c r="J50" s="2526" t="s">
        <v>252</v>
      </c>
      <c r="K50" s="2526" t="s">
        <v>252</v>
      </c>
      <c r="L50" s="2516" t="s">
        <v>252</v>
      </c>
      <c r="M50" s="2527">
        <v>0</v>
      </c>
      <c r="N50" s="2526">
        <v>0</v>
      </c>
      <c r="O50" s="2526">
        <v>0</v>
      </c>
      <c r="P50" s="2526">
        <v>0</v>
      </c>
      <c r="Q50" s="2518">
        <v>0</v>
      </c>
      <c r="R50" s="2527">
        <v>0</v>
      </c>
      <c r="S50" s="2526">
        <v>0</v>
      </c>
      <c r="T50" s="2526">
        <v>0</v>
      </c>
      <c r="U50" s="2526">
        <v>0</v>
      </c>
      <c r="V50" s="2518">
        <v>0</v>
      </c>
      <c r="W50" s="2527">
        <v>0</v>
      </c>
      <c r="X50" s="2526">
        <v>0</v>
      </c>
      <c r="Y50" s="2526">
        <v>0</v>
      </c>
      <c r="Z50" s="2526">
        <v>0</v>
      </c>
      <c r="AA50" s="2518">
        <v>0</v>
      </c>
      <c r="AB50" s="2527">
        <v>0</v>
      </c>
      <c r="AC50" s="2526">
        <v>0</v>
      </c>
      <c r="AD50" s="2526">
        <v>0</v>
      </c>
      <c r="AE50" s="2526">
        <v>0</v>
      </c>
      <c r="AF50" s="2518">
        <f t="shared" si="17"/>
        <v>0</v>
      </c>
      <c r="AG50" s="2577">
        <v>0</v>
      </c>
      <c r="AH50" s="3014">
        <v>0</v>
      </c>
      <c r="AI50" s="3014">
        <v>0</v>
      </c>
      <c r="AJ50" s="3014">
        <v>0</v>
      </c>
      <c r="AK50" s="2518">
        <f t="shared" si="18"/>
        <v>0</v>
      </c>
    </row>
    <row r="51" spans="1:38" s="213" customFormat="1" ht="14.25" customHeight="1">
      <c r="A51" s="4359"/>
      <c r="B51" s="2529" t="s">
        <v>620</v>
      </c>
      <c r="C51" s="2530" t="s">
        <v>252</v>
      </c>
      <c r="D51" s="2531" t="s">
        <v>252</v>
      </c>
      <c r="E51" s="2531" t="s">
        <v>252</v>
      </c>
      <c r="F51" s="2531" t="s">
        <v>252</v>
      </c>
      <c r="G51" s="2554" t="s">
        <v>252</v>
      </c>
      <c r="H51" s="2555" t="s">
        <v>252</v>
      </c>
      <c r="I51" s="2556" t="s">
        <v>252</v>
      </c>
      <c r="J51" s="2556" t="s">
        <v>252</v>
      </c>
      <c r="K51" s="2556" t="s">
        <v>252</v>
      </c>
      <c r="L51" s="2557" t="s">
        <v>252</v>
      </c>
      <c r="M51" s="2535">
        <v>1626.0774999999994</v>
      </c>
      <c r="N51" s="2558">
        <v>254.71999999999997</v>
      </c>
      <c r="O51" s="2558">
        <v>13.079499999999999</v>
      </c>
      <c r="P51" s="2558">
        <v>35.17</v>
      </c>
      <c r="Q51" s="2559">
        <f>SUM(Q40:Q50)</f>
        <v>1929.0469999999998</v>
      </c>
      <c r="R51" s="2535">
        <v>2721.7450000000008</v>
      </c>
      <c r="S51" s="2558">
        <v>670.38</v>
      </c>
      <c r="T51" s="2558">
        <v>24.9345</v>
      </c>
      <c r="U51" s="2558">
        <v>39.29</v>
      </c>
      <c r="V51" s="2559">
        <f>SUM(V40:V50)</f>
        <v>3456.3495000000012</v>
      </c>
      <c r="W51" s="2535">
        <v>5736.3623590000007</v>
      </c>
      <c r="X51" s="2558">
        <v>1744.7399339999999</v>
      </c>
      <c r="Y51" s="2558">
        <v>29.627000000000002</v>
      </c>
      <c r="Z51" s="2558">
        <v>37.93</v>
      </c>
      <c r="AA51" s="2559">
        <f>SUM(AA40:AA50)</f>
        <v>7548.6592930000006</v>
      </c>
      <c r="AB51" s="2535">
        <f>SUM(AB40:AB50)</f>
        <v>5917.7913232000001</v>
      </c>
      <c r="AC51" s="2558">
        <f t="shared" ref="AC51:AE51" si="19">SUM(AC40:AC50)</f>
        <v>1887.778908</v>
      </c>
      <c r="AD51" s="2558">
        <f t="shared" si="19"/>
        <v>22.198</v>
      </c>
      <c r="AE51" s="2558">
        <f t="shared" si="19"/>
        <v>51.59</v>
      </c>
      <c r="AF51" s="2559">
        <f>SUM(AF40:AF50)</f>
        <v>7879.3582311999999</v>
      </c>
      <c r="AG51" s="2535">
        <f>SUM(AG40:AG50)</f>
        <v>5945.79</v>
      </c>
      <c r="AH51" s="2558">
        <f t="shared" ref="AH51:AJ51" si="20">SUM(AH40:AH50)</f>
        <v>2012.7800000000002</v>
      </c>
      <c r="AI51" s="2558">
        <f t="shared" si="20"/>
        <v>36.26</v>
      </c>
      <c r="AJ51" s="2558">
        <f t="shared" si="20"/>
        <v>1561.4</v>
      </c>
      <c r="AK51" s="2559">
        <f>SUM(AK40:AK50)</f>
        <v>9556.2300000000014</v>
      </c>
    </row>
    <row r="52" spans="1:38" s="213" customFormat="1" ht="15" customHeight="1" thickBot="1">
      <c r="A52" s="4360"/>
      <c r="B52" s="2560" t="s">
        <v>1024</v>
      </c>
      <c r="C52" s="2539" t="s">
        <v>252</v>
      </c>
      <c r="D52" s="2540" t="s">
        <v>252</v>
      </c>
      <c r="E52" s="2540" t="s">
        <v>252</v>
      </c>
      <c r="F52" s="2540" t="s">
        <v>252</v>
      </c>
      <c r="G52" s="2561" t="s">
        <v>252</v>
      </c>
      <c r="H52" s="2562" t="s">
        <v>252</v>
      </c>
      <c r="I52" s="2563" t="s">
        <v>252</v>
      </c>
      <c r="J52" s="2564" t="s">
        <v>252</v>
      </c>
      <c r="K52" s="2564" t="s">
        <v>252</v>
      </c>
      <c r="L52" s="2542" t="s">
        <v>252</v>
      </c>
      <c r="M52" s="2565">
        <v>1089.8666349999996</v>
      </c>
      <c r="N52" s="2566">
        <v>0</v>
      </c>
      <c r="O52" s="2567">
        <v>13.079499999999999</v>
      </c>
      <c r="P52" s="2567">
        <v>35.17</v>
      </c>
      <c r="Q52" s="2548">
        <v>1138.1161349999998</v>
      </c>
      <c r="R52" s="2565">
        <v>1713.4095080000004</v>
      </c>
      <c r="S52" s="2566">
        <v>0</v>
      </c>
      <c r="T52" s="2567">
        <v>24.9345</v>
      </c>
      <c r="U52" s="2567">
        <v>39.29</v>
      </c>
      <c r="V52" s="2548">
        <v>1777.6340080000004</v>
      </c>
      <c r="W52" s="2565">
        <f t="shared" ref="W52:Z52" si="21">SUM(W40:W45)</f>
        <v>3518.3779925880003</v>
      </c>
      <c r="X52" s="2566">
        <f t="shared" si="21"/>
        <v>0</v>
      </c>
      <c r="Y52" s="2567">
        <f t="shared" si="21"/>
        <v>29.627000000000002</v>
      </c>
      <c r="Z52" s="2567">
        <f t="shared" si="21"/>
        <v>37.93</v>
      </c>
      <c r="AA52" s="2548">
        <f>SUM(AA40:AA45)</f>
        <v>3585.9349925879997</v>
      </c>
      <c r="AB52" s="2568">
        <f t="shared" ref="AB52:AE52" si="22">SUM(AB40:AB45)</f>
        <v>5858.4526860000005</v>
      </c>
      <c r="AC52" s="2569">
        <f t="shared" si="22"/>
        <v>0</v>
      </c>
      <c r="AD52" s="2570">
        <f t="shared" si="22"/>
        <v>22.198</v>
      </c>
      <c r="AE52" s="2570">
        <f t="shared" si="22"/>
        <v>51.59</v>
      </c>
      <c r="AF52" s="2545">
        <f>SUM(AF40:AF45)</f>
        <v>5932.2406860000001</v>
      </c>
      <c r="AG52" s="2568">
        <f t="shared" ref="AG52:AJ52" si="23">SUM(AG40:AG45)</f>
        <v>5940.85</v>
      </c>
      <c r="AH52" s="2569">
        <f t="shared" si="23"/>
        <v>0</v>
      </c>
      <c r="AI52" s="2570">
        <f t="shared" si="23"/>
        <v>17.86</v>
      </c>
      <c r="AJ52" s="2570">
        <f t="shared" si="23"/>
        <v>1561.4</v>
      </c>
      <c r="AK52" s="2545">
        <f>SUM(AK40:AK45)</f>
        <v>7520.1100000000006</v>
      </c>
    </row>
    <row r="53" spans="1:38" ht="14.25" customHeight="1">
      <c r="A53" s="4358" t="s">
        <v>278</v>
      </c>
      <c r="B53" s="2511" t="s">
        <v>1013</v>
      </c>
      <c r="C53" s="2549" t="s">
        <v>252</v>
      </c>
      <c r="D53" s="2550" t="s">
        <v>252</v>
      </c>
      <c r="E53" s="2550" t="s">
        <v>252</v>
      </c>
      <c r="F53" s="2550" t="s">
        <v>252</v>
      </c>
      <c r="G53" s="2571" t="s">
        <v>252</v>
      </c>
      <c r="H53" s="2572" t="s">
        <v>252</v>
      </c>
      <c r="I53" s="2573" t="s">
        <v>252</v>
      </c>
      <c r="J53" s="2573" t="s">
        <v>252</v>
      </c>
      <c r="K53" s="2573" t="s">
        <v>252</v>
      </c>
      <c r="L53" s="2516" t="s">
        <v>252</v>
      </c>
      <c r="M53" s="2574">
        <v>0</v>
      </c>
      <c r="N53" s="2573">
        <v>0</v>
      </c>
      <c r="O53" s="2573">
        <v>0</v>
      </c>
      <c r="P53" s="2573">
        <v>0</v>
      </c>
      <c r="Q53" s="2518">
        <v>0</v>
      </c>
      <c r="R53" s="2574">
        <v>0</v>
      </c>
      <c r="S53" s="2573">
        <v>0</v>
      </c>
      <c r="T53" s="2573">
        <v>0</v>
      </c>
      <c r="U53" s="2573">
        <v>0</v>
      </c>
      <c r="V53" s="2518">
        <v>0</v>
      </c>
      <c r="W53" s="2574">
        <v>0</v>
      </c>
      <c r="X53" s="2573">
        <v>0</v>
      </c>
      <c r="Y53" s="2573">
        <v>0</v>
      </c>
      <c r="Z53" s="2573">
        <v>0</v>
      </c>
      <c r="AA53" s="2518">
        <v>0</v>
      </c>
      <c r="AB53" s="2575">
        <v>0</v>
      </c>
      <c r="AC53" s="2576">
        <v>0</v>
      </c>
      <c r="AD53" s="2576">
        <v>0</v>
      </c>
      <c r="AE53" s="2576">
        <v>0</v>
      </c>
      <c r="AF53" s="2521">
        <f>SUM(AB53:AE53)</f>
        <v>0</v>
      </c>
      <c r="AG53" s="2575">
        <v>42</v>
      </c>
      <c r="AH53" s="2576">
        <v>0</v>
      </c>
      <c r="AI53" s="2576">
        <v>0</v>
      </c>
      <c r="AJ53" s="2576">
        <v>0</v>
      </c>
      <c r="AK53" s="2521">
        <f>SUM(AG53:AJ53)</f>
        <v>42</v>
      </c>
    </row>
    <row r="54" spans="1:38">
      <c r="A54" s="4359"/>
      <c r="B54" s="2522" t="s">
        <v>1014</v>
      </c>
      <c r="C54" s="2523" t="s">
        <v>252</v>
      </c>
      <c r="D54" s="1337" t="s">
        <v>252</v>
      </c>
      <c r="E54" s="1337" t="s">
        <v>252</v>
      </c>
      <c r="F54" s="1337" t="s">
        <v>252</v>
      </c>
      <c r="G54" s="2524" t="s">
        <v>252</v>
      </c>
      <c r="H54" s="2572" t="s">
        <v>252</v>
      </c>
      <c r="I54" s="2572" t="s">
        <v>252</v>
      </c>
      <c r="J54" s="2572" t="s">
        <v>252</v>
      </c>
      <c r="K54" s="2572" t="s">
        <v>252</v>
      </c>
      <c r="L54" s="2516" t="s">
        <v>252</v>
      </c>
      <c r="M54" s="2577">
        <v>386</v>
      </c>
      <c r="N54" s="2572">
        <v>0</v>
      </c>
      <c r="O54" s="2572">
        <v>0</v>
      </c>
      <c r="P54" s="2572">
        <v>0</v>
      </c>
      <c r="Q54" s="2518">
        <v>386</v>
      </c>
      <c r="R54" s="2577">
        <v>683</v>
      </c>
      <c r="S54" s="2572">
        <v>0</v>
      </c>
      <c r="T54" s="2572">
        <v>0</v>
      </c>
      <c r="U54" s="2572">
        <v>0</v>
      </c>
      <c r="V54" s="2518">
        <v>683</v>
      </c>
      <c r="W54" s="2577">
        <v>1230.53</v>
      </c>
      <c r="X54" s="2572">
        <v>0</v>
      </c>
      <c r="Y54" s="2572">
        <v>88.19</v>
      </c>
      <c r="Z54" s="2572">
        <v>9.24</v>
      </c>
      <c r="AA54" s="2518">
        <v>1327.96</v>
      </c>
      <c r="AB54" s="2577">
        <v>1215.57</v>
      </c>
      <c r="AC54" s="2572">
        <v>0</v>
      </c>
      <c r="AD54" s="2572">
        <v>0</v>
      </c>
      <c r="AE54" s="2572">
        <v>0</v>
      </c>
      <c r="AF54" s="2518">
        <f t="shared" ref="AF54:AF63" si="24">SUM(AB54:AE54)</f>
        <v>1215.57</v>
      </c>
      <c r="AG54" s="2577">
        <v>1207.68</v>
      </c>
      <c r="AH54" s="2572">
        <v>0</v>
      </c>
      <c r="AI54" s="2572">
        <v>0</v>
      </c>
      <c r="AJ54" s="2572">
        <v>0</v>
      </c>
      <c r="AK54" s="2518">
        <f t="shared" ref="AK54:AK63" si="25">SUM(AG54:AJ54)</f>
        <v>1207.68</v>
      </c>
      <c r="AL54" s="1291"/>
    </row>
    <row r="55" spans="1:38">
      <c r="A55" s="4359"/>
      <c r="B55" s="2522" t="s">
        <v>1015</v>
      </c>
      <c r="C55" s="2523" t="s">
        <v>252</v>
      </c>
      <c r="D55" s="1337" t="s">
        <v>252</v>
      </c>
      <c r="E55" s="1337" t="s">
        <v>252</v>
      </c>
      <c r="F55" s="1337" t="s">
        <v>252</v>
      </c>
      <c r="G55" s="2524" t="s">
        <v>252</v>
      </c>
      <c r="H55" s="2572" t="s">
        <v>252</v>
      </c>
      <c r="I55" s="2572" t="s">
        <v>252</v>
      </c>
      <c r="J55" s="2572" t="s">
        <v>252</v>
      </c>
      <c r="K55" s="2572" t="s">
        <v>252</v>
      </c>
      <c r="L55" s="2516" t="s">
        <v>252</v>
      </c>
      <c r="M55" s="2577">
        <v>0</v>
      </c>
      <c r="N55" s="2572">
        <v>0</v>
      </c>
      <c r="O55" s="2572">
        <v>0</v>
      </c>
      <c r="P55" s="2572">
        <v>0</v>
      </c>
      <c r="Q55" s="2518">
        <v>0</v>
      </c>
      <c r="R55" s="2577">
        <v>0</v>
      </c>
      <c r="S55" s="2572">
        <v>0</v>
      </c>
      <c r="T55" s="2572">
        <v>0</v>
      </c>
      <c r="U55" s="2572">
        <v>0</v>
      </c>
      <c r="V55" s="2518">
        <v>0</v>
      </c>
      <c r="W55" s="2577">
        <v>0</v>
      </c>
      <c r="X55" s="2572">
        <v>0</v>
      </c>
      <c r="Y55" s="2572">
        <v>0</v>
      </c>
      <c r="Z55" s="2572">
        <v>0</v>
      </c>
      <c r="AA55" s="2518">
        <f>SUM(W55:Z55)</f>
        <v>0</v>
      </c>
      <c r="AB55" s="2577">
        <v>417.7</v>
      </c>
      <c r="AC55" s="2572">
        <v>0</v>
      </c>
      <c r="AD55" s="2572">
        <v>0</v>
      </c>
      <c r="AE55" s="2572">
        <v>0</v>
      </c>
      <c r="AF55" s="2518">
        <f t="shared" si="24"/>
        <v>417.7</v>
      </c>
      <c r="AG55" s="2577">
        <v>691.06</v>
      </c>
      <c r="AH55" s="2572">
        <v>0</v>
      </c>
      <c r="AI55" s="2572">
        <v>120.21</v>
      </c>
      <c r="AJ55" s="2572">
        <v>0</v>
      </c>
      <c r="AK55" s="2518">
        <f t="shared" si="25"/>
        <v>811.27</v>
      </c>
    </row>
    <row r="56" spans="1:38">
      <c r="A56" s="4359"/>
      <c r="B56" s="2528" t="s">
        <v>1016</v>
      </c>
      <c r="C56" s="2523" t="s">
        <v>252</v>
      </c>
      <c r="D56" s="1337" t="s">
        <v>252</v>
      </c>
      <c r="E56" s="1337" t="s">
        <v>252</v>
      </c>
      <c r="F56" s="1337" t="s">
        <v>252</v>
      </c>
      <c r="G56" s="2524" t="s">
        <v>252</v>
      </c>
      <c r="H56" s="2572" t="s">
        <v>252</v>
      </c>
      <c r="I56" s="2572" t="s">
        <v>252</v>
      </c>
      <c r="J56" s="2572" t="s">
        <v>252</v>
      </c>
      <c r="K56" s="2572" t="s">
        <v>252</v>
      </c>
      <c r="L56" s="2516" t="s">
        <v>252</v>
      </c>
      <c r="M56" s="2577">
        <v>0</v>
      </c>
      <c r="N56" s="2572">
        <v>0</v>
      </c>
      <c r="O56" s="2572">
        <v>0</v>
      </c>
      <c r="P56" s="2572">
        <v>0</v>
      </c>
      <c r="Q56" s="2518">
        <v>0</v>
      </c>
      <c r="R56" s="2577">
        <v>0</v>
      </c>
      <c r="S56" s="2572">
        <v>0</v>
      </c>
      <c r="T56" s="2572">
        <v>0</v>
      </c>
      <c r="U56" s="2572">
        <v>0</v>
      </c>
      <c r="V56" s="2518">
        <v>0</v>
      </c>
      <c r="W56" s="2577">
        <v>0</v>
      </c>
      <c r="X56" s="2572">
        <v>0</v>
      </c>
      <c r="Y56" s="2572">
        <v>0</v>
      </c>
      <c r="Z56" s="2572">
        <v>0</v>
      </c>
      <c r="AA56" s="2518">
        <f t="shared" ref="AA56:AA57" si="26">SUM(W56:Z56)</f>
        <v>0</v>
      </c>
      <c r="AB56" s="2577">
        <v>389.06</v>
      </c>
      <c r="AC56" s="2572">
        <v>0</v>
      </c>
      <c r="AD56" s="2572">
        <v>0</v>
      </c>
      <c r="AE56" s="2572">
        <v>0</v>
      </c>
      <c r="AF56" s="2518">
        <f t="shared" si="24"/>
        <v>389.06</v>
      </c>
      <c r="AG56" s="2577">
        <v>0</v>
      </c>
      <c r="AH56" s="2572">
        <v>0</v>
      </c>
      <c r="AI56" s="2572">
        <v>0</v>
      </c>
      <c r="AJ56" s="2572">
        <v>0</v>
      </c>
      <c r="AK56" s="2518">
        <f t="shared" si="25"/>
        <v>0</v>
      </c>
      <c r="AL56" s="1291"/>
    </row>
    <row r="57" spans="1:38">
      <c r="A57" s="4359"/>
      <c r="B57" s="2522" t="s">
        <v>1017</v>
      </c>
      <c r="C57" s="2523" t="s">
        <v>252</v>
      </c>
      <c r="D57" s="1337" t="s">
        <v>252</v>
      </c>
      <c r="E57" s="1337" t="s">
        <v>252</v>
      </c>
      <c r="F57" s="1337" t="s">
        <v>252</v>
      </c>
      <c r="G57" s="2524" t="s">
        <v>252</v>
      </c>
      <c r="H57" s="2572" t="s">
        <v>252</v>
      </c>
      <c r="I57" s="2572" t="s">
        <v>252</v>
      </c>
      <c r="J57" s="2572" t="s">
        <v>252</v>
      </c>
      <c r="K57" s="2572" t="s">
        <v>252</v>
      </c>
      <c r="L57" s="2516" t="s">
        <v>252</v>
      </c>
      <c r="M57" s="2577">
        <v>624</v>
      </c>
      <c r="N57" s="2572">
        <v>0</v>
      </c>
      <c r="O57" s="2572">
        <v>0</v>
      </c>
      <c r="P57" s="2572">
        <v>0</v>
      </c>
      <c r="Q57" s="2518">
        <v>624</v>
      </c>
      <c r="R57" s="2577">
        <v>624</v>
      </c>
      <c r="S57" s="2572">
        <v>0</v>
      </c>
      <c r="T57" s="2572">
        <v>0</v>
      </c>
      <c r="U57" s="2572">
        <v>0</v>
      </c>
      <c r="V57" s="2518">
        <v>624</v>
      </c>
      <c r="W57" s="2577">
        <v>0</v>
      </c>
      <c r="X57" s="2572">
        <v>0</v>
      </c>
      <c r="Y57" s="2572">
        <v>0</v>
      </c>
      <c r="Z57" s="2572">
        <v>0</v>
      </c>
      <c r="AA57" s="2518">
        <f t="shared" si="26"/>
        <v>0</v>
      </c>
      <c r="AB57" s="2577">
        <v>0</v>
      </c>
      <c r="AC57" s="2572">
        <v>0</v>
      </c>
      <c r="AD57" s="2572">
        <v>0</v>
      </c>
      <c r="AE57" s="2572">
        <v>0</v>
      </c>
      <c r="AF57" s="2518">
        <f t="shared" si="24"/>
        <v>0</v>
      </c>
      <c r="AG57" s="2577">
        <v>0</v>
      </c>
      <c r="AH57" s="2572">
        <v>0</v>
      </c>
      <c r="AI57" s="2572">
        <v>0</v>
      </c>
      <c r="AJ57" s="2572">
        <v>0</v>
      </c>
      <c r="AK57" s="2518">
        <f t="shared" si="25"/>
        <v>0</v>
      </c>
    </row>
    <row r="58" spans="1:38">
      <c r="A58" s="4359"/>
      <c r="B58" s="2522" t="s">
        <v>1018</v>
      </c>
      <c r="C58" s="2523" t="s">
        <v>252</v>
      </c>
      <c r="D58" s="1337" t="s">
        <v>252</v>
      </c>
      <c r="E58" s="1337" t="s">
        <v>252</v>
      </c>
      <c r="F58" s="1337" t="s">
        <v>252</v>
      </c>
      <c r="G58" s="2524" t="s">
        <v>252</v>
      </c>
      <c r="H58" s="2572" t="s">
        <v>252</v>
      </c>
      <c r="I58" s="2572" t="s">
        <v>252</v>
      </c>
      <c r="J58" s="2572" t="s">
        <v>252</v>
      </c>
      <c r="K58" s="2572" t="s">
        <v>252</v>
      </c>
      <c r="L58" s="2516" t="s">
        <v>252</v>
      </c>
      <c r="M58" s="2577">
        <v>0</v>
      </c>
      <c r="N58" s="2572">
        <v>0</v>
      </c>
      <c r="O58" s="2572">
        <v>0</v>
      </c>
      <c r="P58" s="2572">
        <v>0</v>
      </c>
      <c r="Q58" s="2518">
        <v>0</v>
      </c>
      <c r="R58" s="2577">
        <v>0</v>
      </c>
      <c r="S58" s="2572">
        <v>0</v>
      </c>
      <c r="T58" s="2572">
        <v>0</v>
      </c>
      <c r="U58" s="2572">
        <v>0</v>
      </c>
      <c r="V58" s="2518">
        <v>0</v>
      </c>
      <c r="W58" s="2577">
        <v>170.52</v>
      </c>
      <c r="X58" s="2572">
        <v>0</v>
      </c>
      <c r="Y58" s="2572">
        <v>0</v>
      </c>
      <c r="Z58" s="2572">
        <v>0</v>
      </c>
      <c r="AA58" s="2518">
        <v>170.52</v>
      </c>
      <c r="AB58" s="2577">
        <v>390.98</v>
      </c>
      <c r="AC58" s="2572">
        <v>0</v>
      </c>
      <c r="AD58" s="2572">
        <v>0</v>
      </c>
      <c r="AE58" s="2572">
        <v>0</v>
      </c>
      <c r="AF58" s="2518">
        <f t="shared" si="24"/>
        <v>390.98</v>
      </c>
      <c r="AG58" s="2577">
        <v>81.44</v>
      </c>
      <c r="AH58" s="2572">
        <v>0</v>
      </c>
      <c r="AI58" s="2572">
        <v>0</v>
      </c>
      <c r="AJ58" s="2572">
        <v>0</v>
      </c>
      <c r="AK58" s="2518">
        <f t="shared" si="25"/>
        <v>81.44</v>
      </c>
    </row>
    <row r="59" spans="1:38">
      <c r="A59" s="4359"/>
      <c r="B59" s="2528" t="s">
        <v>1019</v>
      </c>
      <c r="C59" s="2523" t="s">
        <v>252</v>
      </c>
      <c r="D59" s="1337" t="s">
        <v>252</v>
      </c>
      <c r="E59" s="1337" t="s">
        <v>252</v>
      </c>
      <c r="F59" s="1337" t="s">
        <v>252</v>
      </c>
      <c r="G59" s="2524" t="s">
        <v>252</v>
      </c>
      <c r="H59" s="2572" t="s">
        <v>252</v>
      </c>
      <c r="I59" s="2572" t="s">
        <v>252</v>
      </c>
      <c r="J59" s="2572" t="s">
        <v>252</v>
      </c>
      <c r="K59" s="2572" t="s">
        <v>252</v>
      </c>
      <c r="L59" s="2516" t="s">
        <v>252</v>
      </c>
      <c r="M59" s="2577">
        <v>620</v>
      </c>
      <c r="N59" s="2572">
        <v>0</v>
      </c>
      <c r="O59" s="2572">
        <v>0</v>
      </c>
      <c r="P59" s="2572">
        <v>0</v>
      </c>
      <c r="Q59" s="2518">
        <v>620</v>
      </c>
      <c r="R59" s="2577">
        <v>1389</v>
      </c>
      <c r="S59" s="2572">
        <v>0</v>
      </c>
      <c r="T59" s="2572">
        <v>0</v>
      </c>
      <c r="U59" s="2572">
        <v>0</v>
      </c>
      <c r="V59" s="2518">
        <v>1389</v>
      </c>
      <c r="W59" s="2577">
        <v>1887.58</v>
      </c>
      <c r="X59" s="2572">
        <v>881.58</v>
      </c>
      <c r="Y59" s="2572">
        <v>4.4580000000000002</v>
      </c>
      <c r="Z59" s="2572">
        <v>0</v>
      </c>
      <c r="AA59" s="2518">
        <v>2773.4</v>
      </c>
      <c r="AB59" s="2577">
        <v>2589.4699999999998</v>
      </c>
      <c r="AC59" s="2572">
        <v>0</v>
      </c>
      <c r="AD59" s="2572">
        <v>0</v>
      </c>
      <c r="AE59" s="2572">
        <v>0</v>
      </c>
      <c r="AF59" s="2518">
        <f t="shared" si="24"/>
        <v>2589.4699999999998</v>
      </c>
      <c r="AG59" s="2577">
        <v>1810.97</v>
      </c>
      <c r="AH59" s="2572">
        <v>1036.73</v>
      </c>
      <c r="AI59" s="2572">
        <v>0</v>
      </c>
      <c r="AJ59" s="2572">
        <v>4.5599999999999996</v>
      </c>
      <c r="AK59" s="2518">
        <f t="shared" si="25"/>
        <v>2852.2599999999998</v>
      </c>
    </row>
    <row r="60" spans="1:38">
      <c r="A60" s="4359"/>
      <c r="B60" s="2522" t="s">
        <v>1020</v>
      </c>
      <c r="C60" s="2523" t="s">
        <v>252</v>
      </c>
      <c r="D60" s="1337" t="s">
        <v>252</v>
      </c>
      <c r="E60" s="1337" t="s">
        <v>252</v>
      </c>
      <c r="F60" s="1337" t="s">
        <v>252</v>
      </c>
      <c r="G60" s="2524" t="s">
        <v>252</v>
      </c>
      <c r="H60" s="2572" t="s">
        <v>252</v>
      </c>
      <c r="I60" s="2572" t="s">
        <v>252</v>
      </c>
      <c r="J60" s="2572" t="s">
        <v>252</v>
      </c>
      <c r="K60" s="2572" t="s">
        <v>252</v>
      </c>
      <c r="L60" s="2516" t="s">
        <v>252</v>
      </c>
      <c r="M60" s="2577">
        <v>0</v>
      </c>
      <c r="N60" s="2572">
        <v>0</v>
      </c>
      <c r="O60" s="2572">
        <v>0</v>
      </c>
      <c r="P60" s="2572">
        <v>0</v>
      </c>
      <c r="Q60" s="2518">
        <v>0</v>
      </c>
      <c r="R60" s="2577">
        <v>0</v>
      </c>
      <c r="S60" s="2572">
        <v>0</v>
      </c>
      <c r="T60" s="2572">
        <v>0</v>
      </c>
      <c r="U60" s="2572">
        <v>0</v>
      </c>
      <c r="V60" s="2518">
        <v>0</v>
      </c>
      <c r="W60" s="2577">
        <v>0</v>
      </c>
      <c r="X60" s="2572">
        <v>0</v>
      </c>
      <c r="Y60" s="2572">
        <v>0</v>
      </c>
      <c r="Z60" s="2572">
        <v>0</v>
      </c>
      <c r="AA60" s="2518">
        <f>SUM(W60:Z60)</f>
        <v>0</v>
      </c>
      <c r="AB60" s="2577">
        <v>0</v>
      </c>
      <c r="AC60" s="2572">
        <v>0</v>
      </c>
      <c r="AD60" s="2572">
        <v>0</v>
      </c>
      <c r="AE60" s="2572">
        <v>0</v>
      </c>
      <c r="AF60" s="2518">
        <f t="shared" si="24"/>
        <v>0</v>
      </c>
      <c r="AG60" s="2577">
        <v>0</v>
      </c>
      <c r="AH60" s="2572">
        <v>0</v>
      </c>
      <c r="AI60" s="2572">
        <v>0</v>
      </c>
      <c r="AJ60" s="2572">
        <v>0</v>
      </c>
      <c r="AK60" s="2518">
        <f t="shared" si="25"/>
        <v>0</v>
      </c>
    </row>
    <row r="61" spans="1:38">
      <c r="A61" s="4359"/>
      <c r="B61" s="2522" t="s">
        <v>1021</v>
      </c>
      <c r="C61" s="2523" t="s">
        <v>252</v>
      </c>
      <c r="D61" s="1337" t="s">
        <v>252</v>
      </c>
      <c r="E61" s="1337" t="s">
        <v>252</v>
      </c>
      <c r="F61" s="1337" t="s">
        <v>252</v>
      </c>
      <c r="G61" s="2524" t="s">
        <v>252</v>
      </c>
      <c r="H61" s="2572" t="s">
        <v>252</v>
      </c>
      <c r="I61" s="2572" t="s">
        <v>252</v>
      </c>
      <c r="J61" s="2572" t="s">
        <v>252</v>
      </c>
      <c r="K61" s="2572" t="s">
        <v>252</v>
      </c>
      <c r="L61" s="2516" t="s">
        <v>252</v>
      </c>
      <c r="M61" s="2577">
        <v>0</v>
      </c>
      <c r="N61" s="2572">
        <v>0</v>
      </c>
      <c r="O61" s="2572">
        <v>0</v>
      </c>
      <c r="P61" s="2572">
        <v>0</v>
      </c>
      <c r="Q61" s="2518">
        <v>0</v>
      </c>
      <c r="R61" s="2577">
        <v>0</v>
      </c>
      <c r="S61" s="2572">
        <v>0</v>
      </c>
      <c r="T61" s="2572">
        <v>0</v>
      </c>
      <c r="U61" s="2572">
        <v>0</v>
      </c>
      <c r="V61" s="2518">
        <v>0</v>
      </c>
      <c r="W61" s="2577">
        <v>0</v>
      </c>
      <c r="X61" s="2572">
        <v>0</v>
      </c>
      <c r="Y61" s="2572">
        <v>0</v>
      </c>
      <c r="Z61" s="2572">
        <v>0</v>
      </c>
      <c r="AA61" s="2518">
        <f t="shared" ref="AA61:AA63" si="27">SUM(W61:Z61)</f>
        <v>0</v>
      </c>
      <c r="AB61" s="2577">
        <v>0</v>
      </c>
      <c r="AC61" s="2572">
        <v>0</v>
      </c>
      <c r="AD61" s="2572">
        <v>0</v>
      </c>
      <c r="AE61" s="2572">
        <v>0</v>
      </c>
      <c r="AF61" s="2518">
        <f t="shared" si="24"/>
        <v>0</v>
      </c>
      <c r="AG61" s="2577">
        <v>0</v>
      </c>
      <c r="AH61" s="2572">
        <v>0</v>
      </c>
      <c r="AI61" s="2572">
        <v>0</v>
      </c>
      <c r="AJ61" s="2572">
        <v>0</v>
      </c>
      <c r="AK61" s="2518">
        <f t="shared" si="25"/>
        <v>0</v>
      </c>
    </row>
    <row r="62" spans="1:38">
      <c r="A62" s="4359"/>
      <c r="B62" s="2522" t="s">
        <v>1022</v>
      </c>
      <c r="C62" s="2523" t="s">
        <v>252</v>
      </c>
      <c r="D62" s="1337" t="s">
        <v>252</v>
      </c>
      <c r="E62" s="1337" t="s">
        <v>252</v>
      </c>
      <c r="F62" s="1337" t="s">
        <v>252</v>
      </c>
      <c r="G62" s="2524" t="s">
        <v>252</v>
      </c>
      <c r="H62" s="2572" t="s">
        <v>252</v>
      </c>
      <c r="I62" s="2572" t="s">
        <v>252</v>
      </c>
      <c r="J62" s="2572" t="s">
        <v>252</v>
      </c>
      <c r="K62" s="2572" t="s">
        <v>252</v>
      </c>
      <c r="L62" s="2516" t="s">
        <v>252</v>
      </c>
      <c r="M62" s="2577">
        <v>0</v>
      </c>
      <c r="N62" s="2572">
        <v>0</v>
      </c>
      <c r="O62" s="2572">
        <v>0</v>
      </c>
      <c r="P62" s="2572">
        <v>0</v>
      </c>
      <c r="Q62" s="2518">
        <v>0</v>
      </c>
      <c r="R62" s="2577">
        <v>0</v>
      </c>
      <c r="S62" s="2572">
        <v>0</v>
      </c>
      <c r="T62" s="2572">
        <v>0</v>
      </c>
      <c r="U62" s="2572">
        <v>0</v>
      </c>
      <c r="V62" s="2518">
        <v>0</v>
      </c>
      <c r="W62" s="2577">
        <v>0</v>
      </c>
      <c r="X62" s="2572">
        <v>0</v>
      </c>
      <c r="Y62" s="2572">
        <v>0</v>
      </c>
      <c r="Z62" s="2572">
        <v>0</v>
      </c>
      <c r="AA62" s="2518">
        <f t="shared" si="27"/>
        <v>0</v>
      </c>
      <c r="AB62" s="2577">
        <v>0</v>
      </c>
      <c r="AC62" s="2572">
        <v>0</v>
      </c>
      <c r="AD62" s="2572">
        <v>0</v>
      </c>
      <c r="AE62" s="2572">
        <v>0</v>
      </c>
      <c r="AF62" s="2518">
        <f t="shared" si="24"/>
        <v>0</v>
      </c>
      <c r="AG62" s="2577">
        <v>0</v>
      </c>
      <c r="AH62" s="2572">
        <v>0</v>
      </c>
      <c r="AI62" s="2572">
        <v>0</v>
      </c>
      <c r="AJ62" s="2572">
        <v>0</v>
      </c>
      <c r="AK62" s="2518">
        <f t="shared" si="25"/>
        <v>0</v>
      </c>
    </row>
    <row r="63" spans="1:38">
      <c r="A63" s="4359"/>
      <c r="B63" s="2522" t="s">
        <v>1023</v>
      </c>
      <c r="C63" s="2523" t="s">
        <v>252</v>
      </c>
      <c r="D63" s="1337" t="s">
        <v>252</v>
      </c>
      <c r="E63" s="1337" t="s">
        <v>252</v>
      </c>
      <c r="F63" s="1337" t="s">
        <v>252</v>
      </c>
      <c r="G63" s="2524" t="s">
        <v>252</v>
      </c>
      <c r="H63" s="2572" t="s">
        <v>252</v>
      </c>
      <c r="I63" s="2572" t="s">
        <v>252</v>
      </c>
      <c r="J63" s="2572" t="s">
        <v>252</v>
      </c>
      <c r="K63" s="2572" t="s">
        <v>252</v>
      </c>
      <c r="L63" s="2516" t="s">
        <v>252</v>
      </c>
      <c r="M63" s="2577">
        <v>0</v>
      </c>
      <c r="N63" s="2572">
        <v>0</v>
      </c>
      <c r="O63" s="2572">
        <v>0</v>
      </c>
      <c r="P63" s="2572">
        <v>0</v>
      </c>
      <c r="Q63" s="2518">
        <v>0</v>
      </c>
      <c r="R63" s="2577">
        <v>0</v>
      </c>
      <c r="S63" s="2572">
        <v>0</v>
      </c>
      <c r="T63" s="2572">
        <v>0</v>
      </c>
      <c r="U63" s="2572">
        <v>0</v>
      </c>
      <c r="V63" s="2518">
        <v>0</v>
      </c>
      <c r="W63" s="2577">
        <v>0</v>
      </c>
      <c r="X63" s="2572">
        <v>0</v>
      </c>
      <c r="Y63" s="2572">
        <v>0</v>
      </c>
      <c r="Z63" s="2572">
        <v>0</v>
      </c>
      <c r="AA63" s="2518">
        <f t="shared" si="27"/>
        <v>0</v>
      </c>
      <c r="AB63" s="2577">
        <v>0</v>
      </c>
      <c r="AC63" s="2572">
        <v>0</v>
      </c>
      <c r="AD63" s="2572">
        <v>0</v>
      </c>
      <c r="AE63" s="2572">
        <v>0</v>
      </c>
      <c r="AF63" s="2518">
        <f t="shared" si="24"/>
        <v>0</v>
      </c>
      <c r="AG63" s="2577">
        <v>0</v>
      </c>
      <c r="AH63" s="2572">
        <v>0</v>
      </c>
      <c r="AI63" s="2572">
        <v>0</v>
      </c>
      <c r="AJ63" s="2572">
        <v>0</v>
      </c>
      <c r="AK63" s="2518">
        <f t="shared" si="25"/>
        <v>0</v>
      </c>
    </row>
    <row r="64" spans="1:38" s="213" customFormat="1">
      <c r="A64" s="4359"/>
      <c r="B64" s="2529" t="s">
        <v>620</v>
      </c>
      <c r="C64" s="2530" t="s">
        <v>252</v>
      </c>
      <c r="D64" s="2531" t="s">
        <v>252</v>
      </c>
      <c r="E64" s="2531" t="s">
        <v>252</v>
      </c>
      <c r="F64" s="2531" t="s">
        <v>252</v>
      </c>
      <c r="G64" s="2532" t="s">
        <v>252</v>
      </c>
      <c r="H64" s="2533" t="s">
        <v>252</v>
      </c>
      <c r="I64" s="2556" t="s">
        <v>252</v>
      </c>
      <c r="J64" s="2556" t="s">
        <v>252</v>
      </c>
      <c r="K64" s="2533" t="s">
        <v>252</v>
      </c>
      <c r="L64" s="2534" t="s">
        <v>252</v>
      </c>
      <c r="M64" s="2535">
        <v>1010</v>
      </c>
      <c r="N64" s="2558">
        <v>0</v>
      </c>
      <c r="O64" s="2558">
        <v>42</v>
      </c>
      <c r="P64" s="2536">
        <v>0</v>
      </c>
      <c r="Q64" s="2537">
        <f>SUM(Q53:Q63)</f>
        <v>1630</v>
      </c>
      <c r="R64" s="2535">
        <v>2696</v>
      </c>
      <c r="S64" s="2558">
        <v>0</v>
      </c>
      <c r="T64" s="2558">
        <v>0</v>
      </c>
      <c r="U64" s="2536">
        <v>0</v>
      </c>
      <c r="V64" s="2537">
        <f t="shared" ref="V64:AK64" si="28">SUM(V53:V63)</f>
        <v>2696</v>
      </c>
      <c r="W64" s="2535">
        <f t="shared" si="28"/>
        <v>3288.63</v>
      </c>
      <c r="X64" s="2558">
        <f t="shared" si="28"/>
        <v>881.58</v>
      </c>
      <c r="Y64" s="2558">
        <f t="shared" si="28"/>
        <v>92.647999999999996</v>
      </c>
      <c r="Z64" s="2536">
        <f t="shared" si="28"/>
        <v>9.24</v>
      </c>
      <c r="AA64" s="2537">
        <f>SUM(AA53:AA63)</f>
        <v>4271.88</v>
      </c>
      <c r="AB64" s="2535">
        <f t="shared" ref="AB64:AF64" si="29">SUM(AB53:AB63)</f>
        <v>5002.78</v>
      </c>
      <c r="AC64" s="2558">
        <f t="shared" si="29"/>
        <v>0</v>
      </c>
      <c r="AD64" s="2558">
        <f t="shared" si="29"/>
        <v>0</v>
      </c>
      <c r="AE64" s="2536">
        <f t="shared" si="29"/>
        <v>0</v>
      </c>
      <c r="AF64" s="2537">
        <f t="shared" si="29"/>
        <v>5002.78</v>
      </c>
      <c r="AG64" s="2535">
        <f t="shared" si="28"/>
        <v>3833.15</v>
      </c>
      <c r="AH64" s="2558">
        <f t="shared" si="28"/>
        <v>1036.73</v>
      </c>
      <c r="AI64" s="2558">
        <f t="shared" si="28"/>
        <v>120.21</v>
      </c>
      <c r="AJ64" s="2536">
        <f t="shared" si="28"/>
        <v>4.5599999999999996</v>
      </c>
      <c r="AK64" s="2537">
        <f t="shared" si="28"/>
        <v>4994.6499999999996</v>
      </c>
    </row>
    <row r="65" spans="1:39" s="213" customFormat="1" ht="14.45" thickBot="1">
      <c r="A65" s="4360"/>
      <c r="B65" s="2578" t="s">
        <v>1024</v>
      </c>
      <c r="C65" s="2539" t="s">
        <v>252</v>
      </c>
      <c r="D65" s="2540" t="s">
        <v>252</v>
      </c>
      <c r="E65" s="2540" t="s">
        <v>252</v>
      </c>
      <c r="F65" s="2540" t="s">
        <v>252</v>
      </c>
      <c r="G65" s="2541" t="s">
        <v>252</v>
      </c>
      <c r="H65" s="2579" t="s">
        <v>252</v>
      </c>
      <c r="I65" s="2580" t="s">
        <v>252</v>
      </c>
      <c r="J65" s="2581" t="s">
        <v>252</v>
      </c>
      <c r="K65" s="2582" t="s">
        <v>252</v>
      </c>
      <c r="L65" s="2583" t="s">
        <v>252</v>
      </c>
      <c r="M65" s="2584">
        <v>1010</v>
      </c>
      <c r="N65" s="2585">
        <v>0</v>
      </c>
      <c r="O65" s="2586">
        <v>0</v>
      </c>
      <c r="P65" s="2587">
        <v>0</v>
      </c>
      <c r="Q65" s="2588">
        <v>1010</v>
      </c>
      <c r="R65" s="2584">
        <v>1307</v>
      </c>
      <c r="S65" s="2585">
        <v>0</v>
      </c>
      <c r="T65" s="2586">
        <v>0</v>
      </c>
      <c r="U65" s="2587">
        <v>0</v>
      </c>
      <c r="V65" s="2588">
        <v>1307</v>
      </c>
      <c r="W65" s="2584">
        <f t="shared" ref="W65:Y65" si="30">SUM(W53:W58)</f>
        <v>1401.05</v>
      </c>
      <c r="X65" s="2585">
        <f t="shared" si="30"/>
        <v>0</v>
      </c>
      <c r="Y65" s="2586">
        <f t="shared" si="30"/>
        <v>88.19</v>
      </c>
      <c r="Z65" s="2587">
        <f>SUM(Z53:Z59)</f>
        <v>9.24</v>
      </c>
      <c r="AA65" s="2588">
        <f>SUM(AA53:AA58)</f>
        <v>1498.48</v>
      </c>
      <c r="AB65" s="2589">
        <f t="shared" ref="AB65:AD65" si="31">SUM(AB53:AB58)</f>
        <v>2413.31</v>
      </c>
      <c r="AC65" s="2590">
        <f t="shared" si="31"/>
        <v>0</v>
      </c>
      <c r="AD65" s="2591">
        <f t="shared" si="31"/>
        <v>0</v>
      </c>
      <c r="AE65" s="2592">
        <f>SUM(AE53:AE59)</f>
        <v>0</v>
      </c>
      <c r="AF65" s="2593">
        <f>SUM(AF53:AF58)</f>
        <v>2413.31</v>
      </c>
      <c r="AG65" s="2589">
        <f t="shared" ref="AG65:AI65" si="32">SUM(AG53:AG58)</f>
        <v>2022.18</v>
      </c>
      <c r="AH65" s="2590">
        <f t="shared" si="32"/>
        <v>0</v>
      </c>
      <c r="AI65" s="2591">
        <f t="shared" si="32"/>
        <v>120.21</v>
      </c>
      <c r="AJ65" s="2592">
        <f>SUM(AJ53:AJ59)</f>
        <v>4.5599999999999996</v>
      </c>
      <c r="AK65" s="2593">
        <f>SUM(AK53:AK58)</f>
        <v>2142.39</v>
      </c>
      <c r="AL65" s="3354"/>
    </row>
    <row r="66" spans="1:39">
      <c r="A66" s="4352" t="s">
        <v>183</v>
      </c>
      <c r="B66" s="2594" t="s">
        <v>1013</v>
      </c>
      <c r="C66" s="2595" t="s">
        <v>252</v>
      </c>
      <c r="D66" s="2596" t="s">
        <v>252</v>
      </c>
      <c r="E66" s="2596" t="s">
        <v>252</v>
      </c>
      <c r="F66" s="2596" t="s">
        <v>252</v>
      </c>
      <c r="G66" s="2597" t="s">
        <v>252</v>
      </c>
      <c r="H66" s="2598" t="s">
        <v>252</v>
      </c>
      <c r="I66" s="2598" t="s">
        <v>252</v>
      </c>
      <c r="J66" s="2598" t="s">
        <v>252</v>
      </c>
      <c r="K66" s="2598" t="s">
        <v>252</v>
      </c>
      <c r="L66" s="2599" t="s">
        <v>252</v>
      </c>
      <c r="M66" s="2600">
        <f t="shared" ref="M66:V66" si="33">SUM(M27+M53+M40)</f>
        <v>0</v>
      </c>
      <c r="N66" s="2601">
        <f t="shared" si="33"/>
        <v>0</v>
      </c>
      <c r="O66" s="2601">
        <f t="shared" si="33"/>
        <v>0</v>
      </c>
      <c r="P66" s="2601">
        <f t="shared" si="33"/>
        <v>0</v>
      </c>
      <c r="Q66" s="2521">
        <f t="shared" si="33"/>
        <v>0</v>
      </c>
      <c r="R66" s="2600">
        <f t="shared" si="33"/>
        <v>0</v>
      </c>
      <c r="S66" s="2601">
        <f t="shared" si="33"/>
        <v>0</v>
      </c>
      <c r="T66" s="2601">
        <f t="shared" si="33"/>
        <v>0</v>
      </c>
      <c r="U66" s="2601">
        <f t="shared" si="33"/>
        <v>0</v>
      </c>
      <c r="V66" s="2521">
        <f t="shared" si="33"/>
        <v>0</v>
      </c>
      <c r="W66" s="2600">
        <f t="shared" ref="W66:AF78" si="34">W40+W53+W27</f>
        <v>0</v>
      </c>
      <c r="X66" s="2601">
        <f t="shared" si="34"/>
        <v>0</v>
      </c>
      <c r="Y66" s="2601">
        <f t="shared" si="34"/>
        <v>0</v>
      </c>
      <c r="Z66" s="2601">
        <f t="shared" si="34"/>
        <v>0</v>
      </c>
      <c r="AA66" s="2521">
        <f t="shared" si="34"/>
        <v>0</v>
      </c>
      <c r="AB66" s="2602">
        <f t="shared" si="34"/>
        <v>0</v>
      </c>
      <c r="AC66" s="2603">
        <f t="shared" si="34"/>
        <v>0</v>
      </c>
      <c r="AD66" s="2603">
        <f t="shared" si="34"/>
        <v>0</v>
      </c>
      <c r="AE66" s="2603">
        <f t="shared" si="34"/>
        <v>0</v>
      </c>
      <c r="AF66" s="2518">
        <f t="shared" si="34"/>
        <v>0</v>
      </c>
      <c r="AG66" s="2602">
        <f t="shared" ref="AG66:AJ76" si="35">SUM(AG53+AG40+AG27)</f>
        <v>42</v>
      </c>
      <c r="AH66" s="2603">
        <f t="shared" si="35"/>
        <v>0</v>
      </c>
      <c r="AI66" s="2603">
        <f t="shared" si="35"/>
        <v>0</v>
      </c>
      <c r="AJ66" s="2603">
        <f t="shared" si="35"/>
        <v>0</v>
      </c>
      <c r="AK66" s="2518">
        <f t="shared" ref="AK66" si="36">AK40+AK53+AK27</f>
        <v>42</v>
      </c>
    </row>
    <row r="67" spans="1:39">
      <c r="A67" s="4353"/>
      <c r="B67" s="2522" t="s">
        <v>1014</v>
      </c>
      <c r="C67" s="2604" t="s">
        <v>252</v>
      </c>
      <c r="D67" s="2605" t="s">
        <v>252</v>
      </c>
      <c r="E67" s="2605" t="s">
        <v>252</v>
      </c>
      <c r="F67" s="2605" t="s">
        <v>252</v>
      </c>
      <c r="G67" s="2606" t="s">
        <v>252</v>
      </c>
      <c r="H67" s="2607" t="s">
        <v>252</v>
      </c>
      <c r="I67" s="2598" t="s">
        <v>252</v>
      </c>
      <c r="J67" s="2598" t="s">
        <v>252</v>
      </c>
      <c r="K67" s="2598" t="s">
        <v>252</v>
      </c>
      <c r="L67" s="2599" t="s">
        <v>252</v>
      </c>
      <c r="M67" s="2608">
        <f t="shared" ref="M67:V67" si="37">SUM(M28+M54+M41)</f>
        <v>940.5329999999999</v>
      </c>
      <c r="N67" s="2603">
        <f t="shared" si="37"/>
        <v>0</v>
      </c>
      <c r="O67" s="2603">
        <f t="shared" si="37"/>
        <v>7.8094999999999999</v>
      </c>
      <c r="P67" s="2603">
        <f t="shared" si="37"/>
        <v>0</v>
      </c>
      <c r="Q67" s="2518">
        <f t="shared" si="37"/>
        <v>948.34249999999986</v>
      </c>
      <c r="R67" s="2608">
        <f t="shared" si="37"/>
        <v>1674.9759999999999</v>
      </c>
      <c r="S67" s="2603">
        <f t="shared" si="37"/>
        <v>0</v>
      </c>
      <c r="T67" s="2603">
        <f t="shared" si="37"/>
        <v>14.679500000000001</v>
      </c>
      <c r="U67" s="2603">
        <f t="shared" si="37"/>
        <v>0.22</v>
      </c>
      <c r="V67" s="2518">
        <f t="shared" si="37"/>
        <v>1689.8754999999999</v>
      </c>
      <c r="W67" s="2608">
        <f t="shared" si="34"/>
        <v>2993.1049629999989</v>
      </c>
      <c r="X67" s="2603">
        <f t="shared" si="34"/>
        <v>0</v>
      </c>
      <c r="Y67" s="2603">
        <f t="shared" si="34"/>
        <v>127.58199999999999</v>
      </c>
      <c r="Z67" s="2603">
        <f t="shared" si="34"/>
        <v>9.24</v>
      </c>
      <c r="AA67" s="2518">
        <f t="shared" si="34"/>
        <v>3129.9269629999994</v>
      </c>
      <c r="AB67" s="2608">
        <f t="shared" si="34"/>
        <v>3553.0450000000001</v>
      </c>
      <c r="AC67" s="2603">
        <f t="shared" si="34"/>
        <v>0</v>
      </c>
      <c r="AD67" s="2603">
        <f t="shared" si="34"/>
        <v>19.242999999999999</v>
      </c>
      <c r="AE67" s="2603">
        <f t="shared" si="34"/>
        <v>0</v>
      </c>
      <c r="AF67" s="2518">
        <f t="shared" si="34"/>
        <v>3572.288</v>
      </c>
      <c r="AG67" s="2608">
        <f t="shared" si="35"/>
        <v>3725.78</v>
      </c>
      <c r="AH67" s="2603">
        <f t="shared" si="35"/>
        <v>0</v>
      </c>
      <c r="AI67" s="2603">
        <f t="shared" si="35"/>
        <v>24.95</v>
      </c>
      <c r="AJ67" s="2603">
        <f t="shared" si="35"/>
        <v>0</v>
      </c>
      <c r="AK67" s="2518">
        <f t="shared" ref="AK67" si="38">AK41+AK54+AK28</f>
        <v>3750.7300000000005</v>
      </c>
      <c r="AL67" s="1281"/>
      <c r="AM67" s="1281"/>
    </row>
    <row r="68" spans="1:39">
      <c r="A68" s="4353"/>
      <c r="B68" s="2522" t="s">
        <v>1015</v>
      </c>
      <c r="C68" s="2604" t="s">
        <v>252</v>
      </c>
      <c r="D68" s="2605" t="s">
        <v>252</v>
      </c>
      <c r="E68" s="2605" t="s">
        <v>252</v>
      </c>
      <c r="F68" s="2605" t="s">
        <v>252</v>
      </c>
      <c r="G68" s="2606" t="s">
        <v>252</v>
      </c>
      <c r="H68" s="2609" t="s">
        <v>252</v>
      </c>
      <c r="I68" s="2598" t="s">
        <v>252</v>
      </c>
      <c r="J68" s="2598" t="s">
        <v>252</v>
      </c>
      <c r="K68" s="2598" t="s">
        <v>252</v>
      </c>
      <c r="L68" s="2599" t="s">
        <v>252</v>
      </c>
      <c r="M68" s="2610">
        <f t="shared" ref="M68:V68" si="39">SUM(M29+M55+M42)</f>
        <v>556.69363499999974</v>
      </c>
      <c r="N68" s="2603">
        <f t="shared" si="39"/>
        <v>0</v>
      </c>
      <c r="O68" s="2603">
        <f t="shared" si="39"/>
        <v>0</v>
      </c>
      <c r="P68" s="2603">
        <f t="shared" si="39"/>
        <v>0</v>
      </c>
      <c r="Q68" s="2518">
        <f t="shared" si="39"/>
        <v>556.69363499999974</v>
      </c>
      <c r="R68" s="2610">
        <f t="shared" si="39"/>
        <v>682.64350800000034</v>
      </c>
      <c r="S68" s="2603">
        <f t="shared" si="39"/>
        <v>0</v>
      </c>
      <c r="T68" s="2603">
        <f t="shared" si="39"/>
        <v>0</v>
      </c>
      <c r="U68" s="2603">
        <f t="shared" si="39"/>
        <v>0</v>
      </c>
      <c r="V68" s="2518">
        <f t="shared" si="39"/>
        <v>682.64350800000034</v>
      </c>
      <c r="W68" s="2610">
        <f t="shared" si="34"/>
        <v>1717.0830295880007</v>
      </c>
      <c r="X68" s="2603">
        <f t="shared" si="34"/>
        <v>0</v>
      </c>
      <c r="Y68" s="2603">
        <f t="shared" si="34"/>
        <v>0</v>
      </c>
      <c r="Z68" s="2603">
        <f t="shared" si="34"/>
        <v>0</v>
      </c>
      <c r="AA68" s="2518">
        <f t="shared" si="34"/>
        <v>1717.0830295880007</v>
      </c>
      <c r="AB68" s="2610">
        <f t="shared" si="34"/>
        <v>417.7</v>
      </c>
      <c r="AC68" s="2603">
        <f t="shared" si="34"/>
        <v>0</v>
      </c>
      <c r="AD68" s="2603">
        <f t="shared" si="34"/>
        <v>0</v>
      </c>
      <c r="AE68" s="2603">
        <f t="shared" si="34"/>
        <v>0</v>
      </c>
      <c r="AF68" s="2518">
        <f t="shared" si="34"/>
        <v>417.7</v>
      </c>
      <c r="AG68" s="2610">
        <f t="shared" si="35"/>
        <v>691.06</v>
      </c>
      <c r="AH68" s="2603">
        <f t="shared" si="35"/>
        <v>0</v>
      </c>
      <c r="AI68" s="2603">
        <f t="shared" si="35"/>
        <v>120.21</v>
      </c>
      <c r="AJ68" s="2603">
        <f t="shared" si="35"/>
        <v>0</v>
      </c>
      <c r="AK68" s="2518">
        <f t="shared" ref="AK68" si="40">AK42+AK55+AK29</f>
        <v>811.27</v>
      </c>
      <c r="AL68" s="1281"/>
    </row>
    <row r="69" spans="1:39">
      <c r="A69" s="4353"/>
      <c r="B69" s="2528" t="s">
        <v>1016</v>
      </c>
      <c r="C69" s="2604" t="s">
        <v>252</v>
      </c>
      <c r="D69" s="2605" t="s">
        <v>252</v>
      </c>
      <c r="E69" s="2605" t="s">
        <v>252</v>
      </c>
      <c r="F69" s="2605" t="s">
        <v>252</v>
      </c>
      <c r="G69" s="2606" t="s">
        <v>252</v>
      </c>
      <c r="H69" s="2609" t="s">
        <v>252</v>
      </c>
      <c r="I69" s="2598" t="s">
        <v>252</v>
      </c>
      <c r="J69" s="2598" t="s">
        <v>252</v>
      </c>
      <c r="K69" s="2598" t="s">
        <v>252</v>
      </c>
      <c r="L69" s="2599" t="s">
        <v>252</v>
      </c>
      <c r="M69" s="2610">
        <f t="shared" ref="M69:V69" si="41">SUM(M30+M56+M43)</f>
        <v>108.38000000000001</v>
      </c>
      <c r="N69" s="2603">
        <f t="shared" si="41"/>
        <v>0</v>
      </c>
      <c r="O69" s="2603">
        <f t="shared" si="41"/>
        <v>5.2700000000000005</v>
      </c>
      <c r="P69" s="2603">
        <f t="shared" si="41"/>
        <v>35.17</v>
      </c>
      <c r="Q69" s="2518">
        <f t="shared" si="41"/>
        <v>148.82</v>
      </c>
      <c r="R69" s="2610">
        <f t="shared" si="41"/>
        <v>170.89000000000001</v>
      </c>
      <c r="S69" s="2603">
        <f t="shared" si="41"/>
        <v>0</v>
      </c>
      <c r="T69" s="2603">
        <f t="shared" si="41"/>
        <v>10.254999999999999</v>
      </c>
      <c r="U69" s="2603">
        <f t="shared" si="41"/>
        <v>39.07</v>
      </c>
      <c r="V69" s="2518">
        <f t="shared" si="41"/>
        <v>220.215</v>
      </c>
      <c r="W69" s="2610">
        <f t="shared" si="34"/>
        <v>343.11</v>
      </c>
      <c r="X69" s="2603">
        <f t="shared" si="34"/>
        <v>0</v>
      </c>
      <c r="Y69" s="2603">
        <f t="shared" si="34"/>
        <v>2.3350000000000004</v>
      </c>
      <c r="Z69" s="2603">
        <f t="shared" si="34"/>
        <v>37.93</v>
      </c>
      <c r="AA69" s="2518">
        <f t="shared" si="34"/>
        <v>383.375</v>
      </c>
      <c r="AB69" s="2610">
        <f t="shared" si="34"/>
        <v>4201.8926860000001</v>
      </c>
      <c r="AC69" s="2603">
        <f t="shared" si="34"/>
        <v>0</v>
      </c>
      <c r="AD69" s="2603">
        <f t="shared" si="34"/>
        <v>21.933</v>
      </c>
      <c r="AE69" s="2603">
        <f t="shared" si="34"/>
        <v>51.59</v>
      </c>
      <c r="AF69" s="2518">
        <f t="shared" si="34"/>
        <v>4275.4156860000003</v>
      </c>
      <c r="AG69" s="2610">
        <f t="shared" si="35"/>
        <v>3700.88</v>
      </c>
      <c r="AH69" s="2603">
        <f t="shared" si="35"/>
        <v>0</v>
      </c>
      <c r="AI69" s="2603">
        <f t="shared" si="35"/>
        <v>0</v>
      </c>
      <c r="AJ69" s="2603">
        <f t="shared" si="35"/>
        <v>1561.4</v>
      </c>
      <c r="AK69" s="2518">
        <f t="shared" ref="AK69" si="42">AK43+AK56+AK30</f>
        <v>5265.2000000000007</v>
      </c>
      <c r="AL69" s="1281"/>
    </row>
    <row r="70" spans="1:39">
      <c r="A70" s="4353"/>
      <c r="B70" s="2522" t="s">
        <v>1017</v>
      </c>
      <c r="C70" s="2604" t="s">
        <v>252</v>
      </c>
      <c r="D70" s="2605" t="s">
        <v>252</v>
      </c>
      <c r="E70" s="2605" t="s">
        <v>252</v>
      </c>
      <c r="F70" s="2605" t="s">
        <v>252</v>
      </c>
      <c r="G70" s="2606" t="s">
        <v>252</v>
      </c>
      <c r="H70" s="2598" t="s">
        <v>252</v>
      </c>
      <c r="I70" s="2598" t="s">
        <v>252</v>
      </c>
      <c r="J70" s="2598" t="s">
        <v>252</v>
      </c>
      <c r="K70" s="2598" t="s">
        <v>252</v>
      </c>
      <c r="L70" s="2599" t="s">
        <v>252</v>
      </c>
      <c r="M70" s="2602">
        <f t="shared" ref="M70:V70" si="43">SUM(M31+M57+M44)</f>
        <v>624</v>
      </c>
      <c r="N70" s="2603">
        <f t="shared" si="43"/>
        <v>0</v>
      </c>
      <c r="O70" s="2603">
        <f t="shared" si="43"/>
        <v>0</v>
      </c>
      <c r="P70" s="2603">
        <f t="shared" si="43"/>
        <v>0</v>
      </c>
      <c r="Q70" s="2518">
        <f t="shared" si="43"/>
        <v>624</v>
      </c>
      <c r="R70" s="2602">
        <f t="shared" si="43"/>
        <v>624</v>
      </c>
      <c r="S70" s="2603">
        <f t="shared" si="43"/>
        <v>0</v>
      </c>
      <c r="T70" s="2603">
        <f t="shared" si="43"/>
        <v>0</v>
      </c>
      <c r="U70" s="2603">
        <f t="shared" si="43"/>
        <v>0</v>
      </c>
      <c r="V70" s="2518">
        <f t="shared" si="43"/>
        <v>624</v>
      </c>
      <c r="W70" s="2602">
        <f t="shared" si="34"/>
        <v>0</v>
      </c>
      <c r="X70" s="2603">
        <f t="shared" si="34"/>
        <v>0</v>
      </c>
      <c r="Y70" s="2603">
        <f t="shared" si="34"/>
        <v>0</v>
      </c>
      <c r="Z70" s="2603">
        <f t="shared" si="34"/>
        <v>0</v>
      </c>
      <c r="AA70" s="2518">
        <f t="shared" si="34"/>
        <v>0</v>
      </c>
      <c r="AB70" s="2602">
        <f t="shared" si="34"/>
        <v>0</v>
      </c>
      <c r="AC70" s="2603">
        <f t="shared" si="34"/>
        <v>0</v>
      </c>
      <c r="AD70" s="2603">
        <f t="shared" si="34"/>
        <v>0</v>
      </c>
      <c r="AE70" s="2603">
        <f t="shared" si="34"/>
        <v>0</v>
      </c>
      <c r="AF70" s="2518">
        <f t="shared" si="34"/>
        <v>0</v>
      </c>
      <c r="AG70" s="2602">
        <f t="shared" si="35"/>
        <v>15</v>
      </c>
      <c r="AH70" s="2603">
        <f t="shared" si="35"/>
        <v>0</v>
      </c>
      <c r="AI70" s="2603">
        <f t="shared" si="35"/>
        <v>0</v>
      </c>
      <c r="AJ70" s="2603">
        <f t="shared" si="35"/>
        <v>0</v>
      </c>
      <c r="AK70" s="2518">
        <f t="shared" ref="AK70" si="44">AK44+AK57+AK31</f>
        <v>15</v>
      </c>
      <c r="AL70" s="1281"/>
    </row>
    <row r="71" spans="1:39">
      <c r="A71" s="4353"/>
      <c r="B71" s="2522" t="s">
        <v>1018</v>
      </c>
      <c r="C71" s="2604" t="s">
        <v>252</v>
      </c>
      <c r="D71" s="2605" t="s">
        <v>252</v>
      </c>
      <c r="E71" s="2605" t="s">
        <v>252</v>
      </c>
      <c r="F71" s="2605" t="s">
        <v>252</v>
      </c>
      <c r="G71" s="2606" t="s">
        <v>252</v>
      </c>
      <c r="H71" s="2598" t="s">
        <v>252</v>
      </c>
      <c r="I71" s="2598" t="s">
        <v>252</v>
      </c>
      <c r="J71" s="2598" t="s">
        <v>252</v>
      </c>
      <c r="K71" s="2598" t="s">
        <v>252</v>
      </c>
      <c r="L71" s="2599" t="s">
        <v>252</v>
      </c>
      <c r="M71" s="2602">
        <f t="shared" ref="M71:V71" si="45">SUM(M32+M58+M45)</f>
        <v>13.46</v>
      </c>
      <c r="N71" s="2603">
        <f t="shared" si="45"/>
        <v>0</v>
      </c>
      <c r="O71" s="2603">
        <f t="shared" si="45"/>
        <v>0</v>
      </c>
      <c r="P71" s="2603">
        <f t="shared" si="45"/>
        <v>0</v>
      </c>
      <c r="Q71" s="2518">
        <f t="shared" si="45"/>
        <v>13.46</v>
      </c>
      <c r="R71" s="2602">
        <f t="shared" si="45"/>
        <v>13.4</v>
      </c>
      <c r="S71" s="2603">
        <f t="shared" si="45"/>
        <v>0</v>
      </c>
      <c r="T71" s="2603">
        <f t="shared" si="45"/>
        <v>0</v>
      </c>
      <c r="U71" s="2603">
        <f t="shared" si="45"/>
        <v>0</v>
      </c>
      <c r="V71" s="2518">
        <f t="shared" si="45"/>
        <v>13.4</v>
      </c>
      <c r="W71" s="2602">
        <f t="shared" si="34"/>
        <v>178.48000000000002</v>
      </c>
      <c r="X71" s="2603">
        <f t="shared" si="34"/>
        <v>0</v>
      </c>
      <c r="Y71" s="2603">
        <f t="shared" si="34"/>
        <v>0</v>
      </c>
      <c r="Z71" s="2603">
        <f t="shared" si="34"/>
        <v>0</v>
      </c>
      <c r="AA71" s="2518">
        <f t="shared" si="34"/>
        <v>178.48000000000002</v>
      </c>
      <c r="AB71" s="2602">
        <f t="shared" si="34"/>
        <v>390.98</v>
      </c>
      <c r="AC71" s="2603">
        <f t="shared" si="34"/>
        <v>0</v>
      </c>
      <c r="AD71" s="2603">
        <f t="shared" si="34"/>
        <v>0</v>
      </c>
      <c r="AE71" s="2603">
        <f t="shared" si="34"/>
        <v>0</v>
      </c>
      <c r="AF71" s="2518">
        <f t="shared" si="34"/>
        <v>390.98</v>
      </c>
      <c r="AG71" s="2602">
        <f t="shared" si="35"/>
        <v>81.44</v>
      </c>
      <c r="AH71" s="2603">
        <f t="shared" si="35"/>
        <v>0</v>
      </c>
      <c r="AI71" s="2603">
        <f t="shared" si="35"/>
        <v>0</v>
      </c>
      <c r="AJ71" s="2603">
        <f t="shared" si="35"/>
        <v>0</v>
      </c>
      <c r="AK71" s="2518">
        <f t="shared" ref="AK71" si="46">AK45+AK58+AK32</f>
        <v>81.44</v>
      </c>
      <c r="AL71" s="1281"/>
    </row>
    <row r="72" spans="1:39">
      <c r="A72" s="4353"/>
      <c r="B72" s="2528" t="s">
        <v>1019</v>
      </c>
      <c r="C72" s="2604" t="s">
        <v>252</v>
      </c>
      <c r="D72" s="2605" t="s">
        <v>252</v>
      </c>
      <c r="E72" s="2605" t="s">
        <v>252</v>
      </c>
      <c r="F72" s="2605" t="s">
        <v>252</v>
      </c>
      <c r="G72" s="2606" t="s">
        <v>252</v>
      </c>
      <c r="H72" s="2598" t="s">
        <v>252</v>
      </c>
      <c r="I72" s="2598" t="s">
        <v>252</v>
      </c>
      <c r="J72" s="2598" t="s">
        <v>252</v>
      </c>
      <c r="K72" s="2598" t="s">
        <v>252</v>
      </c>
      <c r="L72" s="2599" t="s">
        <v>252</v>
      </c>
      <c r="M72" s="2602">
        <f t="shared" ref="M72:V72" si="47">SUM(M33+M59+M46)</f>
        <v>1148.3976210000001</v>
      </c>
      <c r="N72" s="2603">
        <f t="shared" si="47"/>
        <v>0</v>
      </c>
      <c r="O72" s="2603">
        <f t="shared" si="47"/>
        <v>0</v>
      </c>
      <c r="P72" s="2603">
        <f t="shared" si="47"/>
        <v>0</v>
      </c>
      <c r="Q72" s="2518">
        <f t="shared" si="47"/>
        <v>1148.3976210000001</v>
      </c>
      <c r="R72" s="2602">
        <f t="shared" si="47"/>
        <v>2351.1068120000004</v>
      </c>
      <c r="S72" s="2603">
        <f t="shared" si="47"/>
        <v>0</v>
      </c>
      <c r="T72" s="2603">
        <f t="shared" si="47"/>
        <v>0</v>
      </c>
      <c r="U72" s="2603">
        <f t="shared" si="47"/>
        <v>0</v>
      </c>
      <c r="V72" s="2518">
        <f t="shared" si="47"/>
        <v>2351.1068120000004</v>
      </c>
      <c r="W72" s="2602">
        <f t="shared" si="34"/>
        <v>3943.9835889880005</v>
      </c>
      <c r="X72" s="2603">
        <f t="shared" si="34"/>
        <v>902.48</v>
      </c>
      <c r="Y72" s="2603">
        <f t="shared" si="34"/>
        <v>4.4580000000000002</v>
      </c>
      <c r="Z72" s="2603">
        <f t="shared" si="34"/>
        <v>0</v>
      </c>
      <c r="AA72" s="2518">
        <f t="shared" si="34"/>
        <v>4850.7035889880008</v>
      </c>
      <c r="AB72" s="2602">
        <f t="shared" si="34"/>
        <v>2592.7699999999995</v>
      </c>
      <c r="AC72" s="2603">
        <f t="shared" si="34"/>
        <v>234.5</v>
      </c>
      <c r="AD72" s="2603">
        <f t="shared" si="34"/>
        <v>0</v>
      </c>
      <c r="AE72" s="2603">
        <f t="shared" si="34"/>
        <v>0</v>
      </c>
      <c r="AF72" s="2518">
        <f t="shared" si="34"/>
        <v>2827.2699999999995</v>
      </c>
      <c r="AG72" s="2602">
        <f t="shared" si="35"/>
        <v>1817.97</v>
      </c>
      <c r="AH72" s="2603">
        <f t="shared" si="35"/>
        <v>3268.3</v>
      </c>
      <c r="AI72" s="2603">
        <f t="shared" si="35"/>
        <v>18.399999999999999</v>
      </c>
      <c r="AJ72" s="2603">
        <f t="shared" si="35"/>
        <v>4.5599999999999996</v>
      </c>
      <c r="AK72" s="2518">
        <f t="shared" ref="AK72" si="48">AK46+AK59+AK33</f>
        <v>5109.2299999999996</v>
      </c>
      <c r="AL72" s="1281"/>
    </row>
    <row r="73" spans="1:39">
      <c r="A73" s="4353"/>
      <c r="B73" s="2522" t="s">
        <v>1020</v>
      </c>
      <c r="C73" s="2604" t="s">
        <v>252</v>
      </c>
      <c r="D73" s="2605" t="s">
        <v>252</v>
      </c>
      <c r="E73" s="2605" t="s">
        <v>252</v>
      </c>
      <c r="F73" s="2605" t="s">
        <v>252</v>
      </c>
      <c r="G73" s="2606" t="s">
        <v>252</v>
      </c>
      <c r="H73" s="2598" t="s">
        <v>252</v>
      </c>
      <c r="I73" s="2598" t="s">
        <v>252</v>
      </c>
      <c r="J73" s="2598" t="s">
        <v>252</v>
      </c>
      <c r="K73" s="2598" t="s">
        <v>252</v>
      </c>
      <c r="L73" s="2599" t="s">
        <v>252</v>
      </c>
      <c r="M73" s="2602">
        <f t="shared" ref="M73:V73" si="49">SUM(M34+M60+M47)</f>
        <v>0</v>
      </c>
      <c r="N73" s="2603">
        <f t="shared" si="49"/>
        <v>0</v>
      </c>
      <c r="O73" s="2603">
        <f t="shared" si="49"/>
        <v>0</v>
      </c>
      <c r="P73" s="2603">
        <f t="shared" si="49"/>
        <v>0</v>
      </c>
      <c r="Q73" s="2518">
        <f t="shared" si="49"/>
        <v>0</v>
      </c>
      <c r="R73" s="2602">
        <f t="shared" si="49"/>
        <v>10.515000000000001</v>
      </c>
      <c r="S73" s="2603">
        <f t="shared" si="49"/>
        <v>0</v>
      </c>
      <c r="T73" s="2603">
        <f t="shared" si="49"/>
        <v>0</v>
      </c>
      <c r="U73" s="2603">
        <f t="shared" si="49"/>
        <v>0</v>
      </c>
      <c r="V73" s="2518">
        <f t="shared" si="49"/>
        <v>10.515000000000001</v>
      </c>
      <c r="W73" s="2602">
        <f t="shared" si="34"/>
        <v>0</v>
      </c>
      <c r="X73" s="2603">
        <f t="shared" si="34"/>
        <v>0</v>
      </c>
      <c r="Y73" s="2603">
        <f t="shared" si="34"/>
        <v>0</v>
      </c>
      <c r="Z73" s="2603">
        <f t="shared" si="34"/>
        <v>0</v>
      </c>
      <c r="AA73" s="2518">
        <f t="shared" si="34"/>
        <v>0</v>
      </c>
      <c r="AB73" s="2602">
        <f t="shared" si="34"/>
        <v>2.5000000000000001E-2</v>
      </c>
      <c r="AC73" s="2603">
        <f t="shared" si="34"/>
        <v>0</v>
      </c>
      <c r="AD73" s="2603">
        <f t="shared" si="34"/>
        <v>0</v>
      </c>
      <c r="AE73" s="2603">
        <f t="shared" si="34"/>
        <v>0</v>
      </c>
      <c r="AF73" s="2518">
        <f t="shared" si="34"/>
        <v>2.5000000000000001E-2</v>
      </c>
      <c r="AG73" s="2602">
        <f t="shared" si="35"/>
        <v>0</v>
      </c>
      <c r="AH73" s="2603">
        <f t="shared" si="35"/>
        <v>0</v>
      </c>
      <c r="AI73" s="2603">
        <f t="shared" si="35"/>
        <v>0</v>
      </c>
      <c r="AJ73" s="2603">
        <f t="shared" si="35"/>
        <v>0</v>
      </c>
      <c r="AK73" s="2518">
        <f t="shared" ref="AK73" si="50">AK47+AK60+AK34</f>
        <v>0</v>
      </c>
      <c r="AL73" s="1281"/>
    </row>
    <row r="74" spans="1:39">
      <c r="A74" s="4353"/>
      <c r="B74" s="2522" t="s">
        <v>1021</v>
      </c>
      <c r="C74" s="2604" t="s">
        <v>252</v>
      </c>
      <c r="D74" s="2605" t="s">
        <v>252</v>
      </c>
      <c r="E74" s="2605" t="s">
        <v>252</v>
      </c>
      <c r="F74" s="2605" t="s">
        <v>252</v>
      </c>
      <c r="G74" s="2606" t="s">
        <v>252</v>
      </c>
      <c r="H74" s="2598" t="s">
        <v>252</v>
      </c>
      <c r="I74" s="2598" t="s">
        <v>252</v>
      </c>
      <c r="J74" s="2598" t="s">
        <v>252</v>
      </c>
      <c r="K74" s="2598" t="s">
        <v>252</v>
      </c>
      <c r="L74" s="2599" t="s">
        <v>252</v>
      </c>
      <c r="M74" s="2602">
        <f t="shared" ref="M74:V74" si="51">SUM(M35+M61+M48)</f>
        <v>7.8132439999999983</v>
      </c>
      <c r="N74" s="2603">
        <f t="shared" si="51"/>
        <v>260.61999999999995</v>
      </c>
      <c r="O74" s="2603">
        <f t="shared" si="51"/>
        <v>0</v>
      </c>
      <c r="P74" s="2603">
        <f t="shared" si="51"/>
        <v>0</v>
      </c>
      <c r="Q74" s="2518">
        <f t="shared" si="51"/>
        <v>268.43324399999995</v>
      </c>
      <c r="R74" s="2602">
        <f t="shared" si="51"/>
        <v>46.228680000000026</v>
      </c>
      <c r="S74" s="2603">
        <f t="shared" si="51"/>
        <v>758.52</v>
      </c>
      <c r="T74" s="2603">
        <f t="shared" si="51"/>
        <v>0</v>
      </c>
      <c r="U74" s="2603">
        <f t="shared" si="51"/>
        <v>0</v>
      </c>
      <c r="V74" s="2518">
        <f t="shared" si="51"/>
        <v>804.74868000000004</v>
      </c>
      <c r="W74" s="2602">
        <f t="shared" si="34"/>
        <v>161.58077742400005</v>
      </c>
      <c r="X74" s="2603">
        <f t="shared" si="34"/>
        <v>1919.2399339999999</v>
      </c>
      <c r="Y74" s="2603">
        <f t="shared" si="34"/>
        <v>0</v>
      </c>
      <c r="Z74" s="2603">
        <f t="shared" si="34"/>
        <v>0</v>
      </c>
      <c r="AA74" s="2518">
        <f t="shared" si="34"/>
        <v>2080.8207114239999</v>
      </c>
      <c r="AB74" s="2602">
        <f t="shared" si="34"/>
        <v>58.218637200000003</v>
      </c>
      <c r="AC74" s="2603">
        <f t="shared" si="34"/>
        <v>1887.778908</v>
      </c>
      <c r="AD74" s="2603">
        <f t="shared" si="34"/>
        <v>0</v>
      </c>
      <c r="AE74" s="2603">
        <f t="shared" si="34"/>
        <v>0</v>
      </c>
      <c r="AF74" s="2518">
        <f t="shared" si="34"/>
        <v>1945.9975452000001</v>
      </c>
      <c r="AG74" s="2602">
        <f t="shared" si="35"/>
        <v>0</v>
      </c>
      <c r="AH74" s="2603">
        <f t="shared" si="35"/>
        <v>36.4</v>
      </c>
      <c r="AI74" s="2603">
        <f t="shared" si="35"/>
        <v>0</v>
      </c>
      <c r="AJ74" s="2603">
        <f t="shared" si="35"/>
        <v>0</v>
      </c>
      <c r="AK74" s="2518">
        <f t="shared" ref="AK74" si="52">AK48+AK61+AK35</f>
        <v>36.4</v>
      </c>
      <c r="AL74" s="1281"/>
    </row>
    <row r="75" spans="1:39">
      <c r="A75" s="4353"/>
      <c r="B75" s="2522" t="s">
        <v>1022</v>
      </c>
      <c r="C75" s="2604" t="s">
        <v>252</v>
      </c>
      <c r="D75" s="2605" t="s">
        <v>252</v>
      </c>
      <c r="E75" s="2605" t="s">
        <v>252</v>
      </c>
      <c r="F75" s="2605" t="s">
        <v>252</v>
      </c>
      <c r="G75" s="2606" t="s">
        <v>252</v>
      </c>
      <c r="H75" s="2598" t="s">
        <v>252</v>
      </c>
      <c r="I75" s="2598" t="s">
        <v>252</v>
      </c>
      <c r="J75" s="2598" t="s">
        <v>252</v>
      </c>
      <c r="K75" s="2598" t="s">
        <v>252</v>
      </c>
      <c r="L75" s="2599" t="s">
        <v>252</v>
      </c>
      <c r="M75" s="2602">
        <f t="shared" ref="M75:V75" si="53">SUM(M36+M62+M49)</f>
        <v>0</v>
      </c>
      <c r="N75" s="2603">
        <f t="shared" si="53"/>
        <v>0</v>
      </c>
      <c r="O75" s="2603">
        <f t="shared" si="53"/>
        <v>0</v>
      </c>
      <c r="P75" s="2603">
        <f t="shared" si="53"/>
        <v>0</v>
      </c>
      <c r="Q75" s="2518">
        <f t="shared" si="53"/>
        <v>0</v>
      </c>
      <c r="R75" s="2602">
        <f t="shared" si="53"/>
        <v>0</v>
      </c>
      <c r="S75" s="2603">
        <f t="shared" si="53"/>
        <v>0</v>
      </c>
      <c r="T75" s="2603">
        <f t="shared" si="53"/>
        <v>0</v>
      </c>
      <c r="U75" s="2603">
        <f t="shared" si="53"/>
        <v>0</v>
      </c>
      <c r="V75" s="2518">
        <f t="shared" si="53"/>
        <v>0</v>
      </c>
      <c r="W75" s="2602">
        <f t="shared" si="34"/>
        <v>0</v>
      </c>
      <c r="X75" s="2603">
        <f t="shared" si="34"/>
        <v>0</v>
      </c>
      <c r="Y75" s="2603">
        <f t="shared" si="34"/>
        <v>0</v>
      </c>
      <c r="Z75" s="2603">
        <f t="shared" si="34"/>
        <v>0</v>
      </c>
      <c r="AA75" s="2518">
        <f t="shared" si="34"/>
        <v>0</v>
      </c>
      <c r="AB75" s="2602">
        <f t="shared" si="34"/>
        <v>0</v>
      </c>
      <c r="AC75" s="2603">
        <f t="shared" si="34"/>
        <v>0</v>
      </c>
      <c r="AD75" s="2603">
        <f t="shared" si="34"/>
        <v>0</v>
      </c>
      <c r="AE75" s="2603">
        <f t="shared" si="34"/>
        <v>0</v>
      </c>
      <c r="AF75" s="2518">
        <f t="shared" si="34"/>
        <v>0</v>
      </c>
      <c r="AG75" s="2602">
        <f t="shared" si="35"/>
        <v>0</v>
      </c>
      <c r="AH75" s="2603">
        <f t="shared" si="35"/>
        <v>0</v>
      </c>
      <c r="AI75" s="2603">
        <f t="shared" si="35"/>
        <v>0</v>
      </c>
      <c r="AJ75" s="2603">
        <f t="shared" si="35"/>
        <v>0</v>
      </c>
      <c r="AK75" s="2518">
        <f t="shared" ref="AK75" si="54">AK49+AK62+AK36</f>
        <v>0</v>
      </c>
      <c r="AL75" s="1281"/>
    </row>
    <row r="76" spans="1:39">
      <c r="A76" s="4353"/>
      <c r="B76" s="2522" t="s">
        <v>1023</v>
      </c>
      <c r="C76" s="2604" t="s">
        <v>252</v>
      </c>
      <c r="D76" s="2605" t="s">
        <v>252</v>
      </c>
      <c r="E76" s="2605" t="s">
        <v>252</v>
      </c>
      <c r="F76" s="2605" t="s">
        <v>252</v>
      </c>
      <c r="G76" s="2606" t="s">
        <v>252</v>
      </c>
      <c r="H76" s="2598" t="s">
        <v>252</v>
      </c>
      <c r="I76" s="2598" t="s">
        <v>252</v>
      </c>
      <c r="J76" s="2598" t="s">
        <v>252</v>
      </c>
      <c r="K76" s="2598" t="s">
        <v>252</v>
      </c>
      <c r="L76" s="2599" t="s">
        <v>252</v>
      </c>
      <c r="M76" s="2602">
        <f t="shared" ref="M76:V76" si="55">SUM(M37+M63+M50)</f>
        <v>0</v>
      </c>
      <c r="N76" s="2603">
        <f t="shared" si="55"/>
        <v>0</v>
      </c>
      <c r="O76" s="2603">
        <f t="shared" si="55"/>
        <v>0</v>
      </c>
      <c r="P76" s="2603">
        <f t="shared" si="55"/>
        <v>0</v>
      </c>
      <c r="Q76" s="2518">
        <f t="shared" si="55"/>
        <v>0</v>
      </c>
      <c r="R76" s="2602">
        <f t="shared" si="55"/>
        <v>0</v>
      </c>
      <c r="S76" s="2603">
        <f t="shared" si="55"/>
        <v>0</v>
      </c>
      <c r="T76" s="2603">
        <f t="shared" si="55"/>
        <v>0</v>
      </c>
      <c r="U76" s="2603">
        <f t="shared" si="55"/>
        <v>0</v>
      </c>
      <c r="V76" s="2518">
        <f t="shared" si="55"/>
        <v>0</v>
      </c>
      <c r="W76" s="2602">
        <f t="shared" si="34"/>
        <v>0</v>
      </c>
      <c r="X76" s="2603">
        <f t="shared" si="34"/>
        <v>0</v>
      </c>
      <c r="Y76" s="2603">
        <f t="shared" si="34"/>
        <v>0</v>
      </c>
      <c r="Z76" s="2603">
        <f t="shared" si="34"/>
        <v>0</v>
      </c>
      <c r="AA76" s="2518">
        <f t="shared" si="34"/>
        <v>0</v>
      </c>
      <c r="AB76" s="2602">
        <f t="shared" si="34"/>
        <v>0</v>
      </c>
      <c r="AC76" s="2603">
        <f t="shared" si="34"/>
        <v>0</v>
      </c>
      <c r="AD76" s="2603">
        <f t="shared" si="34"/>
        <v>0</v>
      </c>
      <c r="AE76" s="2603">
        <f t="shared" si="34"/>
        <v>0</v>
      </c>
      <c r="AF76" s="2518">
        <f t="shared" si="34"/>
        <v>0</v>
      </c>
      <c r="AG76" s="2602">
        <f t="shared" si="35"/>
        <v>0</v>
      </c>
      <c r="AH76" s="2603">
        <f t="shared" si="35"/>
        <v>0</v>
      </c>
      <c r="AI76" s="2603">
        <f t="shared" si="35"/>
        <v>0</v>
      </c>
      <c r="AJ76" s="2603">
        <f t="shared" si="35"/>
        <v>0</v>
      </c>
      <c r="AK76" s="2518">
        <f t="shared" ref="AK76" si="56">AK50+AK63+AK37</f>
        <v>0</v>
      </c>
      <c r="AL76" s="1281"/>
    </row>
    <row r="77" spans="1:39" s="213" customFormat="1">
      <c r="A77" s="4353"/>
      <c r="B77" s="2529" t="s">
        <v>620</v>
      </c>
      <c r="C77" s="2611" t="s">
        <v>252</v>
      </c>
      <c r="D77" s="2612" t="s">
        <v>252</v>
      </c>
      <c r="E77" s="2612" t="s">
        <v>252</v>
      </c>
      <c r="F77" s="2612" t="s">
        <v>252</v>
      </c>
      <c r="G77" s="2613" t="s">
        <v>252</v>
      </c>
      <c r="H77" s="2614" t="s">
        <v>252</v>
      </c>
      <c r="I77" s="2614" t="s">
        <v>252</v>
      </c>
      <c r="J77" s="2614" t="s">
        <v>252</v>
      </c>
      <c r="K77" s="2614" t="s">
        <v>252</v>
      </c>
      <c r="L77" s="2599" t="s">
        <v>252</v>
      </c>
      <c r="M77" s="2615">
        <f t="shared" ref="M77:V77" si="57">SUM(M38+M64+M51)</f>
        <v>2779.2774999999992</v>
      </c>
      <c r="N77" s="2616">
        <f t="shared" si="57"/>
        <v>260.61999999999995</v>
      </c>
      <c r="O77" s="2616">
        <f t="shared" si="57"/>
        <v>55.079499999999996</v>
      </c>
      <c r="P77" s="2616">
        <f t="shared" si="57"/>
        <v>35.17</v>
      </c>
      <c r="Q77" s="2518">
        <f t="shared" si="57"/>
        <v>3708.1469999999999</v>
      </c>
      <c r="R77" s="2615">
        <f t="shared" si="57"/>
        <v>5573.76</v>
      </c>
      <c r="S77" s="2616">
        <f t="shared" si="57"/>
        <v>758.52</v>
      </c>
      <c r="T77" s="2616">
        <f t="shared" si="57"/>
        <v>24.9345</v>
      </c>
      <c r="U77" s="2616">
        <f t="shared" si="57"/>
        <v>39.29</v>
      </c>
      <c r="V77" s="2518">
        <f t="shared" si="57"/>
        <v>6396.5045000000009</v>
      </c>
      <c r="W77" s="2615">
        <f t="shared" si="34"/>
        <v>9337.3423590000002</v>
      </c>
      <c r="X77" s="2616">
        <f t="shared" si="34"/>
        <v>2821.7199340000002</v>
      </c>
      <c r="Y77" s="2616">
        <f t="shared" si="34"/>
        <v>134.375</v>
      </c>
      <c r="Z77" s="2616">
        <f t="shared" si="34"/>
        <v>47.17</v>
      </c>
      <c r="AA77" s="2518">
        <f>AA51+AA64+AA38</f>
        <v>12340.389293000002</v>
      </c>
      <c r="AB77" s="2615">
        <f t="shared" ref="AB77:AE77" si="58">AB51+AB64+AB38</f>
        <v>11214.631323199999</v>
      </c>
      <c r="AC77" s="2616">
        <f t="shared" si="58"/>
        <v>2122.2789080000002</v>
      </c>
      <c r="AD77" s="2616">
        <f t="shared" si="58"/>
        <v>41.176000000000002</v>
      </c>
      <c r="AE77" s="2616">
        <f t="shared" si="58"/>
        <v>51.59</v>
      </c>
      <c r="AF77" s="2518">
        <f>AF51+AF64+AF38</f>
        <v>13429.676231199999</v>
      </c>
      <c r="AG77" s="2615">
        <f t="shared" ref="AG77:AJ77" si="59">AG51+AG64+AG38</f>
        <v>10074.130000000001</v>
      </c>
      <c r="AH77" s="2616">
        <f t="shared" si="59"/>
        <v>3304.7000000000003</v>
      </c>
      <c r="AI77" s="2616">
        <f t="shared" si="59"/>
        <v>163.56</v>
      </c>
      <c r="AJ77" s="2616">
        <f t="shared" si="59"/>
        <v>1565.96</v>
      </c>
      <c r="AK77" s="2518">
        <f>AK51+AK64+AK38</f>
        <v>15111.27</v>
      </c>
    </row>
    <row r="78" spans="1:39" s="213" customFormat="1" ht="14.45" thickBot="1">
      <c r="A78" s="4354"/>
      <c r="B78" s="2617" t="s">
        <v>1024</v>
      </c>
      <c r="C78" s="2618" t="s">
        <v>252</v>
      </c>
      <c r="D78" s="2619" t="s">
        <v>252</v>
      </c>
      <c r="E78" s="2619" t="s">
        <v>252</v>
      </c>
      <c r="F78" s="2619" t="s">
        <v>252</v>
      </c>
      <c r="G78" s="2620" t="s">
        <v>252</v>
      </c>
      <c r="H78" s="2621" t="s">
        <v>252</v>
      </c>
      <c r="I78" s="2622" t="s">
        <v>252</v>
      </c>
      <c r="J78" s="2622" t="s">
        <v>252</v>
      </c>
      <c r="K78" s="2622" t="s">
        <v>252</v>
      </c>
      <c r="L78" s="2623" t="s">
        <v>252</v>
      </c>
      <c r="M78" s="2565">
        <f t="shared" ref="M78:V78" si="60">SUM(M39+M65+M52)</f>
        <v>2243.0666349999997</v>
      </c>
      <c r="N78" s="2624">
        <f t="shared" si="60"/>
        <v>0</v>
      </c>
      <c r="O78" s="2624">
        <f t="shared" si="60"/>
        <v>13.079499999999999</v>
      </c>
      <c r="P78" s="2624">
        <f t="shared" si="60"/>
        <v>35.17</v>
      </c>
      <c r="Q78" s="2625">
        <f t="shared" si="60"/>
        <v>2291.316135</v>
      </c>
      <c r="R78" s="2565">
        <f t="shared" si="60"/>
        <v>3165.9095080000006</v>
      </c>
      <c r="S78" s="2624">
        <f t="shared" si="60"/>
        <v>0</v>
      </c>
      <c r="T78" s="2624">
        <f t="shared" si="60"/>
        <v>24.9345</v>
      </c>
      <c r="U78" s="2624">
        <f t="shared" si="60"/>
        <v>39.29</v>
      </c>
      <c r="V78" s="2625">
        <f t="shared" si="60"/>
        <v>3230.1340080000004</v>
      </c>
      <c r="W78" s="2565">
        <f t="shared" si="34"/>
        <v>5231.7779925880004</v>
      </c>
      <c r="X78" s="2624">
        <f t="shared" si="34"/>
        <v>0</v>
      </c>
      <c r="Y78" s="2624">
        <f t="shared" si="34"/>
        <v>129.917</v>
      </c>
      <c r="Z78" s="2624">
        <f t="shared" si="34"/>
        <v>47.17</v>
      </c>
      <c r="AA78" s="2625">
        <f t="shared" si="34"/>
        <v>5408.864992587999</v>
      </c>
      <c r="AB78" s="2565">
        <f t="shared" si="34"/>
        <v>8563.6176859999996</v>
      </c>
      <c r="AC78" s="2624">
        <f t="shared" si="34"/>
        <v>0</v>
      </c>
      <c r="AD78" s="2624">
        <f t="shared" si="34"/>
        <v>41.176000000000002</v>
      </c>
      <c r="AE78" s="2624">
        <f t="shared" si="34"/>
        <v>51.59</v>
      </c>
      <c r="AF78" s="2625">
        <f t="shared" si="34"/>
        <v>8656.383686000001</v>
      </c>
      <c r="AG78" s="2565">
        <f t="shared" ref="AG78:AK78" si="61">AG52+AG65+AG39</f>
        <v>8256.16</v>
      </c>
      <c r="AH78" s="2624">
        <f t="shared" si="61"/>
        <v>0</v>
      </c>
      <c r="AI78" s="2624">
        <f t="shared" si="61"/>
        <v>145.16</v>
      </c>
      <c r="AJ78" s="2624">
        <f t="shared" si="61"/>
        <v>1565.96</v>
      </c>
      <c r="AK78" s="2625">
        <f t="shared" si="61"/>
        <v>9965.64</v>
      </c>
    </row>
    <row r="79" spans="1:39" ht="14.45" thickTop="1"/>
    <row r="80" spans="1:39">
      <c r="AL80" s="1281"/>
    </row>
  </sheetData>
  <mergeCells count="157">
    <mergeCell ref="AB17:AF17"/>
    <mergeCell ref="AB18:AF18"/>
    <mergeCell ref="AB19:AF19"/>
    <mergeCell ref="AB20:AF20"/>
    <mergeCell ref="AB21:AF21"/>
    <mergeCell ref="AB22:AF22"/>
    <mergeCell ref="AB23:AF23"/>
    <mergeCell ref="AB25:AF25"/>
    <mergeCell ref="AB3:AF3"/>
    <mergeCell ref="AB4:AF4"/>
    <mergeCell ref="AB5:AF5"/>
    <mergeCell ref="AB6:AF6"/>
    <mergeCell ref="AB7:AF7"/>
    <mergeCell ref="AB8:AF8"/>
    <mergeCell ref="AB9:AF9"/>
    <mergeCell ref="AB10:AF10"/>
    <mergeCell ref="AB11:AF11"/>
    <mergeCell ref="M25:Q25"/>
    <mergeCell ref="R25:V25"/>
    <mergeCell ref="W25:AA25"/>
    <mergeCell ref="AG25:AK25"/>
    <mergeCell ref="R3:V3"/>
    <mergeCell ref="W3:AA3"/>
    <mergeCell ref="AG3:AK3"/>
    <mergeCell ref="H8:L8"/>
    <mergeCell ref="H18:L18"/>
    <mergeCell ref="H23:L23"/>
    <mergeCell ref="R4:V4"/>
    <mergeCell ref="R5:V5"/>
    <mergeCell ref="R6:V6"/>
    <mergeCell ref="R7:V7"/>
    <mergeCell ref="R22:V22"/>
    <mergeCell ref="R14:V14"/>
    <mergeCell ref="R15:V15"/>
    <mergeCell ref="R16:V16"/>
    <mergeCell ref="R17:V17"/>
    <mergeCell ref="R19:V19"/>
    <mergeCell ref="R9:V9"/>
    <mergeCell ref="M21:Q21"/>
    <mergeCell ref="M22:Q22"/>
    <mergeCell ref="H5:L5"/>
    <mergeCell ref="AG23:AK23"/>
    <mergeCell ref="W8:AA8"/>
    <mergeCell ref="M8:Q8"/>
    <mergeCell ref="R8:V8"/>
    <mergeCell ref="H13:L13"/>
    <mergeCell ref="M13:Q13"/>
    <mergeCell ref="R13:V13"/>
    <mergeCell ref="W13:AA13"/>
    <mergeCell ref="M18:Q18"/>
    <mergeCell ref="R18:V18"/>
    <mergeCell ref="W18:AA18"/>
    <mergeCell ref="M23:Q23"/>
    <mergeCell ref="R23:V23"/>
    <mergeCell ref="W23:AA23"/>
    <mergeCell ref="R10:V10"/>
    <mergeCell ref="R11:V11"/>
    <mergeCell ref="R12:V12"/>
    <mergeCell ref="R20:V20"/>
    <mergeCell ref="R21:V21"/>
    <mergeCell ref="M19:Q19"/>
    <mergeCell ref="AG22:AK22"/>
    <mergeCell ref="AG11:AK11"/>
    <mergeCell ref="AG12:AK12"/>
    <mergeCell ref="AG14:AK14"/>
    <mergeCell ref="C20:G20"/>
    <mergeCell ref="C21:G21"/>
    <mergeCell ref="C22:G22"/>
    <mergeCell ref="A9:A13"/>
    <mergeCell ref="A4:A8"/>
    <mergeCell ref="H6:L6"/>
    <mergeCell ref="H7:L7"/>
    <mergeCell ref="H20:L20"/>
    <mergeCell ref="H14:L14"/>
    <mergeCell ref="H15:L15"/>
    <mergeCell ref="H16:L16"/>
    <mergeCell ref="H17:L17"/>
    <mergeCell ref="H9:L9"/>
    <mergeCell ref="H10:L10"/>
    <mergeCell ref="H11:L11"/>
    <mergeCell ref="H12:L12"/>
    <mergeCell ref="H19:L19"/>
    <mergeCell ref="A14:A18"/>
    <mergeCell ref="A19:A23"/>
    <mergeCell ref="C16:G16"/>
    <mergeCell ref="C19:G19"/>
    <mergeCell ref="A66:A78"/>
    <mergeCell ref="W7:AA7"/>
    <mergeCell ref="C17:G17"/>
    <mergeCell ref="C9:G9"/>
    <mergeCell ref="C10:G10"/>
    <mergeCell ref="M16:Q16"/>
    <mergeCell ref="M17:Q17"/>
    <mergeCell ref="W21:AA21"/>
    <mergeCell ref="W22:AA22"/>
    <mergeCell ref="W19:AA19"/>
    <mergeCell ref="W20:AA20"/>
    <mergeCell ref="W14:AA14"/>
    <mergeCell ref="W15:AA15"/>
    <mergeCell ref="W16:AA16"/>
    <mergeCell ref="W17:AA17"/>
    <mergeCell ref="W9:AA9"/>
    <mergeCell ref="M10:Q10"/>
    <mergeCell ref="M20:Q20"/>
    <mergeCell ref="H21:L21"/>
    <mergeCell ref="H22:L22"/>
    <mergeCell ref="A40:A52"/>
    <mergeCell ref="A26:A39"/>
    <mergeCell ref="A53:A65"/>
    <mergeCell ref="C7:G7"/>
    <mergeCell ref="A1:G1"/>
    <mergeCell ref="M4:Q4"/>
    <mergeCell ref="M5:Q5"/>
    <mergeCell ref="M6:Q6"/>
    <mergeCell ref="M7:Q7"/>
    <mergeCell ref="M14:Q14"/>
    <mergeCell ref="M15:Q15"/>
    <mergeCell ref="M9:Q9"/>
    <mergeCell ref="C4:G4"/>
    <mergeCell ref="C5:G5"/>
    <mergeCell ref="C11:G11"/>
    <mergeCell ref="H4:L4"/>
    <mergeCell ref="M11:Q11"/>
    <mergeCell ref="M12:Q12"/>
    <mergeCell ref="C3:G3"/>
    <mergeCell ref="H3:L3"/>
    <mergeCell ref="M3:Q3"/>
    <mergeCell ref="C6:G6"/>
    <mergeCell ref="C14:G14"/>
    <mergeCell ref="C15:G15"/>
    <mergeCell ref="C12:G12"/>
    <mergeCell ref="AG17:AK17"/>
    <mergeCell ref="AG19:AK19"/>
    <mergeCell ref="AG20:AK20"/>
    <mergeCell ref="AG21:AK21"/>
    <mergeCell ref="AG13:AK13"/>
    <mergeCell ref="AG18:AK18"/>
    <mergeCell ref="AG4:AK4"/>
    <mergeCell ref="AG5:AK5"/>
    <mergeCell ref="AG6:AK6"/>
    <mergeCell ref="AG7:AK7"/>
    <mergeCell ref="AG9:AK9"/>
    <mergeCell ref="AG10:AK10"/>
    <mergeCell ref="W10:AA10"/>
    <mergeCell ref="W11:AA11"/>
    <mergeCell ref="W12:AA12"/>
    <mergeCell ref="W4:AA4"/>
    <mergeCell ref="W5:AA5"/>
    <mergeCell ref="W6:AA6"/>
    <mergeCell ref="AG8:AK8"/>
    <mergeCell ref="AG15:AK15"/>
    <mergeCell ref="AG16:AK16"/>
    <mergeCell ref="AB12:AF12"/>
    <mergeCell ref="AB13:AF13"/>
    <mergeCell ref="AB14:AF14"/>
    <mergeCell ref="AB15:AF15"/>
    <mergeCell ref="AB16:AF16"/>
  </mergeCells>
  <pageMargins left="0.7" right="0.7" top="0.75" bottom="0.75" header="0.3" footer="0.3"/>
  <pageSetup paperSize="9" scale="54" fitToHeight="0" orientation="landscape" horizontalDpi="4294967293" r:id="rId1"/>
  <headerFooter>
    <oddHeader>&amp;L&amp;"Arial,Regular"&amp;9M.A.G CSR Data Reporting Spreadsheet
&amp;R&amp;G</oddHeader>
    <oddFooter>&amp;C&amp;"Arial,Regular"&amp;9
Produced by Simply Sustainable Ltd_x000D_&amp;1#&amp;"Calibri"&amp;10&amp;K000000 C2 - Internal</oddFooter>
  </headerFooter>
  <legacyDrawing r:id="rId2"/>
  <legacyDrawingHF r:id="rId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96FA7-7FE6-4752-BF65-125182DCB02D}">
  <sheetPr codeName="Sheet32">
    <tabColor theme="0"/>
  </sheetPr>
  <dimension ref="A1:J69"/>
  <sheetViews>
    <sheetView showGridLines="0" workbookViewId="0"/>
  </sheetViews>
  <sheetFormatPr defaultColWidth="8.85546875" defaultRowHeight="13.9"/>
  <cols>
    <col min="1" max="1" width="8.85546875" style="8"/>
    <col min="2" max="2" width="25.5703125" style="8" customWidth="1"/>
    <col min="3" max="3" width="8.140625" style="34" customWidth="1"/>
    <col min="4" max="4" width="12.42578125" style="16" customWidth="1"/>
    <col min="5" max="5" width="12.42578125" style="34" customWidth="1"/>
    <col min="6" max="6" width="12.85546875" style="8" bestFit="1" customWidth="1"/>
    <col min="7" max="16384" width="8.85546875" style="8"/>
  </cols>
  <sheetData>
    <row r="1" spans="1:5" ht="20.65" customHeight="1">
      <c r="A1" s="15" t="s">
        <v>1025</v>
      </c>
      <c r="B1" s="15"/>
    </row>
    <row r="2" spans="1:5" ht="20.65" customHeight="1">
      <c r="A2" s="15" t="s">
        <v>1026</v>
      </c>
      <c r="B2" s="15"/>
      <c r="D2" s="493"/>
    </row>
    <row r="3" spans="1:5" ht="18" thickBot="1">
      <c r="A3" s="15"/>
      <c r="B3" s="15"/>
      <c r="D3" s="493"/>
    </row>
    <row r="4" spans="1:5" ht="18" thickBot="1">
      <c r="A4" s="136"/>
      <c r="B4" s="494"/>
      <c r="C4" s="106"/>
      <c r="D4" s="2644" t="s">
        <v>1027</v>
      </c>
      <c r="E4" s="2645" t="s">
        <v>1028</v>
      </c>
    </row>
    <row r="5" spans="1:5" ht="14.25" customHeight="1">
      <c r="A5" s="4405" t="s">
        <v>274</v>
      </c>
      <c r="B5" s="4415" t="s">
        <v>1029</v>
      </c>
      <c r="C5" s="2636">
        <v>2017</v>
      </c>
      <c r="D5" s="1792">
        <v>9</v>
      </c>
      <c r="E5" s="1622">
        <v>1700</v>
      </c>
    </row>
    <row r="6" spans="1:5" ht="15" customHeight="1">
      <c r="A6" s="4406"/>
      <c r="B6" s="4411"/>
      <c r="C6" s="2637">
        <v>2018</v>
      </c>
      <c r="D6" s="1781">
        <v>7.7</v>
      </c>
      <c r="E6" s="1623">
        <v>900</v>
      </c>
    </row>
    <row r="7" spans="1:5" ht="15" customHeight="1">
      <c r="A7" s="4406"/>
      <c r="B7" s="4411"/>
      <c r="C7" s="2637">
        <v>2019</v>
      </c>
      <c r="D7" s="1781">
        <v>8.3000000000000007</v>
      </c>
      <c r="E7" s="1623">
        <v>1000</v>
      </c>
    </row>
    <row r="8" spans="1:5" ht="15" customHeight="1">
      <c r="A8" s="4406"/>
      <c r="B8" s="4411"/>
      <c r="C8" s="2637">
        <v>2020</v>
      </c>
      <c r="D8" s="1781">
        <v>4.0999999999999996</v>
      </c>
      <c r="E8" s="1623">
        <v>600</v>
      </c>
    </row>
    <row r="9" spans="1:5" ht="15" customHeight="1">
      <c r="A9" s="4406"/>
      <c r="B9" s="4411"/>
      <c r="C9" s="2637">
        <v>2021</v>
      </c>
      <c r="D9" s="1781">
        <v>5.0999999999999996</v>
      </c>
      <c r="E9" s="1623">
        <v>700</v>
      </c>
    </row>
    <row r="10" spans="1:5" ht="15" customHeight="1">
      <c r="A10" s="4406"/>
      <c r="B10" s="4411"/>
      <c r="C10" s="2638">
        <v>2022</v>
      </c>
      <c r="D10" s="1782">
        <v>6.8</v>
      </c>
      <c r="E10" s="1623">
        <v>900</v>
      </c>
    </row>
    <row r="11" spans="1:5" ht="15" customHeight="1">
      <c r="A11" s="4406"/>
      <c r="B11" s="4411"/>
      <c r="C11" s="2639">
        <v>2023</v>
      </c>
      <c r="D11" s="2152">
        <v>7.4</v>
      </c>
      <c r="E11" s="1788">
        <v>900</v>
      </c>
    </row>
    <row r="12" spans="1:5" ht="15" customHeight="1">
      <c r="A12" s="4406"/>
      <c r="B12" s="4412"/>
      <c r="C12" s="2640">
        <v>2024</v>
      </c>
      <c r="D12" s="2894">
        <v>6.7</v>
      </c>
      <c r="E12" s="1624">
        <v>700</v>
      </c>
    </row>
    <row r="13" spans="1:5" ht="13.9" customHeight="1">
      <c r="A13" s="4406"/>
      <c r="B13" s="4413" t="s">
        <v>1030</v>
      </c>
      <c r="C13" s="2641">
        <v>2017</v>
      </c>
      <c r="D13" s="1783">
        <v>7.8</v>
      </c>
      <c r="E13" s="1625">
        <v>900</v>
      </c>
    </row>
    <row r="14" spans="1:5" ht="15" customHeight="1">
      <c r="A14" s="4406"/>
      <c r="B14" s="4411"/>
      <c r="C14" s="2637">
        <v>2018</v>
      </c>
      <c r="D14" s="1781">
        <v>7.6</v>
      </c>
      <c r="E14" s="1623">
        <v>900</v>
      </c>
    </row>
    <row r="15" spans="1:5" ht="15" customHeight="1">
      <c r="A15" s="4406"/>
      <c r="B15" s="4411"/>
      <c r="C15" s="2638">
        <v>2019</v>
      </c>
      <c r="D15" s="1782">
        <v>8.5</v>
      </c>
      <c r="E15" s="1626">
        <v>1000</v>
      </c>
    </row>
    <row r="16" spans="1:5" s="16" customFormat="1" ht="15" customHeight="1">
      <c r="A16" s="4406"/>
      <c r="B16" s="4411"/>
      <c r="C16" s="2637">
        <v>2020</v>
      </c>
      <c r="D16" s="1781">
        <v>7.5</v>
      </c>
      <c r="E16" s="1623">
        <v>900</v>
      </c>
    </row>
    <row r="17" spans="1:10" s="16" customFormat="1" ht="15" customHeight="1">
      <c r="A17" s="4406"/>
      <c r="B17" s="4411"/>
      <c r="C17" s="2638">
        <v>2021</v>
      </c>
      <c r="D17" s="1782">
        <v>7.8</v>
      </c>
      <c r="E17" s="1626">
        <v>1000</v>
      </c>
    </row>
    <row r="18" spans="1:10" s="16" customFormat="1" ht="14.65" customHeight="1">
      <c r="A18" s="4406"/>
      <c r="B18" s="4411"/>
      <c r="C18" s="2637">
        <v>2022</v>
      </c>
      <c r="D18" s="1781">
        <v>9.8000000000000007</v>
      </c>
      <c r="E18" s="1623">
        <v>1700</v>
      </c>
    </row>
    <row r="19" spans="1:10" s="16" customFormat="1" ht="14.65" customHeight="1">
      <c r="A19" s="4406"/>
      <c r="B19" s="4411"/>
      <c r="C19" s="2638">
        <v>2023</v>
      </c>
      <c r="D19" s="1784">
        <v>9.4</v>
      </c>
      <c r="E19" s="1790">
        <v>1000</v>
      </c>
    </row>
    <row r="20" spans="1:10" s="16" customFormat="1" ht="15" customHeight="1" thickBot="1">
      <c r="A20" s="4407"/>
      <c r="B20" s="4414"/>
      <c r="C20" s="2642">
        <v>2024</v>
      </c>
      <c r="D20" s="2895">
        <v>8.1</v>
      </c>
      <c r="E20" s="2896">
        <v>900</v>
      </c>
    </row>
    <row r="21" spans="1:10" s="16" customFormat="1" ht="13.9" customHeight="1">
      <c r="A21" s="4405" t="s">
        <v>278</v>
      </c>
      <c r="B21" s="4415" t="s">
        <v>1029</v>
      </c>
      <c r="C21" s="2636">
        <v>2017</v>
      </c>
      <c r="D21" s="1780">
        <v>26.5</v>
      </c>
      <c r="E21" s="1622">
        <v>2450</v>
      </c>
    </row>
    <row r="22" spans="1:10" s="16" customFormat="1" ht="15" customHeight="1">
      <c r="A22" s="4406"/>
      <c r="B22" s="4411"/>
      <c r="C22" s="2637">
        <v>2018</v>
      </c>
      <c r="D22" s="1781">
        <v>28.5</v>
      </c>
      <c r="E22" s="1623">
        <v>2100</v>
      </c>
    </row>
    <row r="23" spans="1:10" s="16" customFormat="1" ht="15" customHeight="1">
      <c r="A23" s="4406"/>
      <c r="B23" s="4411"/>
      <c r="C23" s="2637">
        <v>2019</v>
      </c>
      <c r="D23" s="1781">
        <v>28.5</v>
      </c>
      <c r="E23" s="1623">
        <v>2500</v>
      </c>
      <c r="J23" s="17"/>
    </row>
    <row r="24" spans="1:10" s="16" customFormat="1" ht="15" customHeight="1">
      <c r="A24" s="4406"/>
      <c r="B24" s="4411"/>
      <c r="C24" s="2637">
        <v>2020</v>
      </c>
      <c r="D24" s="1781">
        <v>11.8</v>
      </c>
      <c r="E24" s="1623">
        <v>500</v>
      </c>
    </row>
    <row r="25" spans="1:10" s="16" customFormat="1" ht="15" customHeight="1">
      <c r="A25" s="4406"/>
      <c r="B25" s="4411"/>
      <c r="C25" s="2637">
        <v>2021</v>
      </c>
      <c r="D25" s="1781">
        <v>15.7</v>
      </c>
      <c r="E25" s="1623">
        <v>1100</v>
      </c>
    </row>
    <row r="26" spans="1:10" s="16" customFormat="1" ht="14.25" customHeight="1">
      <c r="A26" s="4406"/>
      <c r="B26" s="4411"/>
      <c r="C26" s="2638">
        <v>2022</v>
      </c>
      <c r="D26" s="1782">
        <v>21.4</v>
      </c>
      <c r="E26" s="1623">
        <v>1800</v>
      </c>
    </row>
    <row r="27" spans="1:10" s="16" customFormat="1" ht="14.25" customHeight="1">
      <c r="A27" s="4406"/>
      <c r="B27" s="4411"/>
      <c r="C27" s="2637">
        <v>2023</v>
      </c>
      <c r="D27" s="2152">
        <v>26.1</v>
      </c>
      <c r="E27" s="1788">
        <v>2500</v>
      </c>
    </row>
    <row r="28" spans="1:10" s="16" customFormat="1" ht="14.25" customHeight="1">
      <c r="A28" s="4406"/>
      <c r="B28" s="4412"/>
      <c r="C28" s="2643">
        <v>2024</v>
      </c>
      <c r="D28" s="2894">
        <v>26.1</v>
      </c>
      <c r="E28" s="1624">
        <v>2000</v>
      </c>
    </row>
    <row r="29" spans="1:10" s="16" customFormat="1" ht="13.9" customHeight="1">
      <c r="A29" s="4406"/>
      <c r="B29" s="4413" t="s">
        <v>1030</v>
      </c>
      <c r="C29" s="2641">
        <v>2017</v>
      </c>
      <c r="D29" s="1783">
        <v>9.6</v>
      </c>
      <c r="E29" s="1625">
        <v>400</v>
      </c>
    </row>
    <row r="30" spans="1:10" s="16" customFormat="1" ht="15" customHeight="1">
      <c r="A30" s="4406"/>
      <c r="B30" s="4411"/>
      <c r="C30" s="2637">
        <v>2018</v>
      </c>
      <c r="D30" s="1781">
        <v>10.3</v>
      </c>
      <c r="E30" s="1623">
        <v>450</v>
      </c>
    </row>
    <row r="31" spans="1:10" s="16" customFormat="1" ht="15" customHeight="1">
      <c r="A31" s="4406"/>
      <c r="B31" s="4411"/>
      <c r="C31" s="2638">
        <v>2019</v>
      </c>
      <c r="D31" s="1782">
        <v>10.8</v>
      </c>
      <c r="E31" s="1626">
        <v>450</v>
      </c>
    </row>
    <row r="32" spans="1:10" s="16" customFormat="1" ht="15" customHeight="1">
      <c r="A32" s="4406"/>
      <c r="B32" s="4411"/>
      <c r="C32" s="2637">
        <v>2020</v>
      </c>
      <c r="D32" s="1781">
        <v>4.9000000000000004</v>
      </c>
      <c r="E32" s="1623">
        <v>50</v>
      </c>
    </row>
    <row r="33" spans="1:5" s="16" customFormat="1" ht="15" customHeight="1">
      <c r="A33" s="4406"/>
      <c r="B33" s="4411"/>
      <c r="C33" s="2638">
        <v>2021</v>
      </c>
      <c r="D33" s="1782">
        <v>8.1999999999999993</v>
      </c>
      <c r="E33" s="1626">
        <v>200</v>
      </c>
    </row>
    <row r="34" spans="1:5" s="16" customFormat="1" ht="14.65" customHeight="1">
      <c r="A34" s="4406"/>
      <c r="B34" s="4411"/>
      <c r="C34" s="2637">
        <v>2022</v>
      </c>
      <c r="D34" s="1781">
        <v>9.3000000000000007</v>
      </c>
      <c r="E34" s="1623">
        <v>400</v>
      </c>
    </row>
    <row r="35" spans="1:5" s="16" customFormat="1" ht="14.65" customHeight="1">
      <c r="A35" s="4406"/>
      <c r="B35" s="4411"/>
      <c r="C35" s="2638">
        <v>2023</v>
      </c>
      <c r="D35" s="1784">
        <v>10.6</v>
      </c>
      <c r="E35" s="1788">
        <v>500</v>
      </c>
    </row>
    <row r="36" spans="1:5" s="16" customFormat="1" ht="14.25" customHeight="1" thickBot="1">
      <c r="A36" s="4407"/>
      <c r="B36" s="4414"/>
      <c r="C36" s="2642">
        <v>2024</v>
      </c>
      <c r="D36" s="2895">
        <v>11.2</v>
      </c>
      <c r="E36" s="2897">
        <v>500</v>
      </c>
    </row>
    <row r="37" spans="1:5" s="16" customFormat="1" ht="13.9" customHeight="1">
      <c r="A37" s="4405" t="s">
        <v>279</v>
      </c>
      <c r="B37" s="4411" t="s">
        <v>1029</v>
      </c>
      <c r="C37" s="2636">
        <v>2017</v>
      </c>
      <c r="D37" s="1792">
        <v>34</v>
      </c>
      <c r="E37" s="1622">
        <v>36950</v>
      </c>
    </row>
    <row r="38" spans="1:5" s="16" customFormat="1" ht="15" customHeight="1">
      <c r="A38" s="4406"/>
      <c r="B38" s="4411"/>
      <c r="C38" s="2637">
        <v>2018</v>
      </c>
      <c r="D38" s="1791">
        <v>32</v>
      </c>
      <c r="E38" s="1623">
        <v>35300</v>
      </c>
    </row>
    <row r="39" spans="1:5" s="16" customFormat="1" ht="15" customHeight="1">
      <c r="A39" s="4406"/>
      <c r="B39" s="4411"/>
      <c r="C39" s="2637">
        <v>2019</v>
      </c>
      <c r="D39" s="1781">
        <v>32.9</v>
      </c>
      <c r="E39" s="1623">
        <v>34700</v>
      </c>
    </row>
    <row r="40" spans="1:5" s="16" customFormat="1" ht="15" customHeight="1">
      <c r="A40" s="4406"/>
      <c r="B40" s="4411"/>
      <c r="C40" s="2637">
        <v>2020</v>
      </c>
      <c r="D40" s="1791">
        <v>9</v>
      </c>
      <c r="E40" s="1623">
        <v>3500</v>
      </c>
    </row>
    <row r="41" spans="1:5" s="16" customFormat="1" ht="15" customHeight="1">
      <c r="A41" s="4406"/>
      <c r="B41" s="4411"/>
      <c r="C41" s="2637">
        <v>2021</v>
      </c>
      <c r="D41" s="1781">
        <v>14.5</v>
      </c>
      <c r="E41" s="1623">
        <v>9100</v>
      </c>
    </row>
    <row r="42" spans="1:5" s="16" customFormat="1" ht="14.25" customHeight="1">
      <c r="A42" s="4406"/>
      <c r="B42" s="4411"/>
      <c r="C42" s="2638">
        <v>2022</v>
      </c>
      <c r="D42" s="1782">
        <v>25.2</v>
      </c>
      <c r="E42" s="1623">
        <v>25400</v>
      </c>
    </row>
    <row r="43" spans="1:5" s="16" customFormat="1" ht="14.25" customHeight="1">
      <c r="A43" s="4406"/>
      <c r="B43" s="4411"/>
      <c r="C43" s="2639">
        <v>2023</v>
      </c>
      <c r="D43" s="2152">
        <v>25.9</v>
      </c>
      <c r="E43" s="1790">
        <v>25500</v>
      </c>
    </row>
    <row r="44" spans="1:5" s="16" customFormat="1" ht="14.25" customHeight="1">
      <c r="A44" s="4406"/>
      <c r="B44" s="4412"/>
      <c r="C44" s="2640">
        <v>2024</v>
      </c>
      <c r="D44" s="2894">
        <v>27</v>
      </c>
      <c r="E44" s="2898">
        <v>29100</v>
      </c>
    </row>
    <row r="45" spans="1:5" s="16" customFormat="1" ht="13.9" customHeight="1">
      <c r="A45" s="4406"/>
      <c r="B45" s="4413" t="s">
        <v>1030</v>
      </c>
      <c r="C45" s="2641">
        <v>2017</v>
      </c>
      <c r="D45" s="1783">
        <v>12.6</v>
      </c>
      <c r="E45" s="1625">
        <v>7500</v>
      </c>
    </row>
    <row r="46" spans="1:5" s="16" customFormat="1" ht="15" customHeight="1">
      <c r="A46" s="4406"/>
      <c r="B46" s="4411"/>
      <c r="C46" s="2637">
        <v>2018</v>
      </c>
      <c r="D46" s="1781">
        <v>12.6</v>
      </c>
      <c r="E46" s="1623">
        <v>8500</v>
      </c>
    </row>
    <row r="47" spans="1:5" s="16" customFormat="1" ht="15" customHeight="1">
      <c r="A47" s="4406"/>
      <c r="B47" s="4411"/>
      <c r="C47" s="2638">
        <v>2019</v>
      </c>
      <c r="D47" s="1782">
        <v>13.4</v>
      </c>
      <c r="E47" s="1626">
        <v>10500</v>
      </c>
    </row>
    <row r="48" spans="1:5" s="16" customFormat="1" ht="15" customHeight="1">
      <c r="A48" s="4406"/>
      <c r="B48" s="4411"/>
      <c r="C48" s="2637">
        <v>2020</v>
      </c>
      <c r="D48" s="1781">
        <v>4.0999999999999996</v>
      </c>
      <c r="E48" s="1623">
        <v>300</v>
      </c>
    </row>
    <row r="49" spans="1:6" s="16" customFormat="1" ht="15" customHeight="1">
      <c r="A49" s="4406"/>
      <c r="B49" s="4411"/>
      <c r="C49" s="2638">
        <v>2021</v>
      </c>
      <c r="D49" s="1782">
        <v>6.7</v>
      </c>
      <c r="E49" s="1626">
        <v>3000</v>
      </c>
    </row>
    <row r="50" spans="1:6" s="16" customFormat="1" ht="14.65" customHeight="1">
      <c r="A50" s="4406"/>
      <c r="B50" s="4411"/>
      <c r="C50" s="2637">
        <v>2022</v>
      </c>
      <c r="D50" s="1781">
        <v>11.9</v>
      </c>
      <c r="E50" s="1623">
        <v>8900</v>
      </c>
    </row>
    <row r="51" spans="1:6" s="16" customFormat="1" ht="14.65" customHeight="1">
      <c r="A51" s="4406"/>
      <c r="B51" s="4411"/>
      <c r="C51" s="2638">
        <v>2023</v>
      </c>
      <c r="D51" s="2152">
        <v>10.4</v>
      </c>
      <c r="E51" s="1788">
        <v>10600</v>
      </c>
    </row>
    <row r="52" spans="1:6" s="16" customFormat="1" ht="15" customHeight="1" thickBot="1">
      <c r="A52" s="4407"/>
      <c r="B52" s="4411"/>
      <c r="C52" s="2642">
        <v>2024</v>
      </c>
      <c r="D52" s="1784">
        <v>12</v>
      </c>
      <c r="E52" s="2897">
        <v>10900</v>
      </c>
    </row>
    <row r="53" spans="1:6" s="16" customFormat="1" ht="13.9" customHeight="1">
      <c r="A53" s="4408" t="s">
        <v>183</v>
      </c>
      <c r="B53" s="4416" t="s">
        <v>1029</v>
      </c>
      <c r="C53" s="2636">
        <v>2017</v>
      </c>
      <c r="D53" s="1785">
        <v>69.5</v>
      </c>
      <c r="E53" s="1786">
        <v>41100</v>
      </c>
    </row>
    <row r="54" spans="1:6" ht="15" customHeight="1">
      <c r="A54" s="4409"/>
      <c r="B54" s="4417"/>
      <c r="C54" s="2637">
        <v>2018</v>
      </c>
      <c r="D54" s="1787">
        <v>68.2</v>
      </c>
      <c r="E54" s="1788">
        <v>38300</v>
      </c>
    </row>
    <row r="55" spans="1:6" ht="15" customHeight="1">
      <c r="A55" s="4409"/>
      <c r="B55" s="4417"/>
      <c r="C55" s="2637">
        <v>2019</v>
      </c>
      <c r="D55" s="1787">
        <v>69.7</v>
      </c>
      <c r="E55" s="1788">
        <v>38200</v>
      </c>
    </row>
    <row r="56" spans="1:6" ht="15" customHeight="1">
      <c r="A56" s="4409"/>
      <c r="B56" s="4417"/>
      <c r="C56" s="2637">
        <v>2020</v>
      </c>
      <c r="D56" s="1787">
        <v>24.9</v>
      </c>
      <c r="E56" s="1788">
        <v>4600</v>
      </c>
    </row>
    <row r="57" spans="1:6" ht="15" customHeight="1">
      <c r="A57" s="4409"/>
      <c r="B57" s="4417"/>
      <c r="C57" s="2637">
        <v>2021</v>
      </c>
      <c r="D57" s="1787">
        <v>35.299999999999997</v>
      </c>
      <c r="E57" s="1788">
        <v>10900</v>
      </c>
      <c r="F57" s="145"/>
    </row>
    <row r="58" spans="1:6" ht="15" customHeight="1">
      <c r="A58" s="4409"/>
      <c r="B58" s="4417"/>
      <c r="C58" s="2638">
        <v>2022</v>
      </c>
      <c r="D58" s="1784">
        <f>D42+D26+D10</f>
        <v>53.399999999999991</v>
      </c>
      <c r="E58" s="1788">
        <f>E42+E26+E10</f>
        <v>28100</v>
      </c>
    </row>
    <row r="59" spans="1:6" ht="15" customHeight="1">
      <c r="A59" s="4409"/>
      <c r="B59" s="4417"/>
      <c r="C59" s="2638">
        <v>2023</v>
      </c>
      <c r="D59" s="2152">
        <f>D44+D28+D12</f>
        <v>59.800000000000004</v>
      </c>
      <c r="E59" s="1788">
        <f>E44+E28+E12</f>
        <v>31800</v>
      </c>
    </row>
    <row r="60" spans="1:6" ht="15" customHeight="1" thickBot="1">
      <c r="A60" s="4409"/>
      <c r="B60" s="4418"/>
      <c r="C60" s="2642">
        <v>2024</v>
      </c>
      <c r="D60" s="1784">
        <f>SUM(D12,D28,D44)</f>
        <v>59.800000000000004</v>
      </c>
      <c r="E60" s="2897">
        <f>SUM(E12,E28,E44)</f>
        <v>31800</v>
      </c>
    </row>
    <row r="61" spans="1:6" ht="13.9" customHeight="1">
      <c r="A61" s="4409"/>
      <c r="B61" s="4413" t="s">
        <v>1030</v>
      </c>
      <c r="C61" s="2641">
        <v>2017</v>
      </c>
      <c r="D61" s="3084">
        <v>30</v>
      </c>
      <c r="E61" s="1789">
        <v>8800</v>
      </c>
    </row>
    <row r="62" spans="1:6" ht="15" customHeight="1">
      <c r="A62" s="4409"/>
      <c r="B62" s="4411"/>
      <c r="C62" s="2637">
        <v>2018</v>
      </c>
      <c r="D62" s="1787">
        <v>30.5</v>
      </c>
      <c r="E62" s="1788">
        <v>9850</v>
      </c>
    </row>
    <row r="63" spans="1:6" ht="15" customHeight="1">
      <c r="A63" s="4409"/>
      <c r="B63" s="4411"/>
      <c r="C63" s="2638">
        <v>2019</v>
      </c>
      <c r="D63" s="1784">
        <v>32.700000000000003</v>
      </c>
      <c r="E63" s="1790">
        <v>11950</v>
      </c>
    </row>
    <row r="64" spans="1:6" ht="15" customHeight="1">
      <c r="A64" s="4409"/>
      <c r="B64" s="4411"/>
      <c r="C64" s="2637">
        <v>2020</v>
      </c>
      <c r="D64" s="1787">
        <v>16.5</v>
      </c>
      <c r="E64" s="1788">
        <v>1250</v>
      </c>
    </row>
    <row r="65" spans="1:5" ht="15" customHeight="1">
      <c r="A65" s="4409"/>
      <c r="B65" s="4411"/>
      <c r="C65" s="2638">
        <v>2021</v>
      </c>
      <c r="D65" s="1784">
        <v>22.7</v>
      </c>
      <c r="E65" s="1790">
        <v>4200</v>
      </c>
    </row>
    <row r="66" spans="1:5" ht="15" customHeight="1">
      <c r="A66" s="4409"/>
      <c r="B66" s="4411"/>
      <c r="C66" s="2637">
        <v>2022</v>
      </c>
      <c r="D66" s="1793">
        <f>D50+D34+D18</f>
        <v>31.000000000000004</v>
      </c>
      <c r="E66" s="1788">
        <f>E50+E34+E18</f>
        <v>11000</v>
      </c>
    </row>
    <row r="67" spans="1:5" ht="15" customHeight="1">
      <c r="A67" s="4409"/>
      <c r="B67" s="4411"/>
      <c r="C67" s="2638">
        <v>2023</v>
      </c>
      <c r="D67" s="2152">
        <f>D51+D35+D18</f>
        <v>30.8</v>
      </c>
      <c r="E67" s="1788">
        <f>E51+E35+E18</f>
        <v>12800</v>
      </c>
    </row>
    <row r="68" spans="1:5" ht="14.25" customHeight="1" thickBot="1">
      <c r="A68" s="4410"/>
      <c r="B68" s="4414"/>
      <c r="C68" s="2642">
        <v>2024</v>
      </c>
      <c r="D68" s="1782">
        <f>SUM(D20,D36,D52)</f>
        <v>31.299999999999997</v>
      </c>
      <c r="E68" s="2901">
        <f>SUM(E20,E36,E52)</f>
        <v>12300</v>
      </c>
    </row>
    <row r="69" spans="1:5">
      <c r="A69" s="509"/>
      <c r="B69" s="509"/>
      <c r="C69" s="742"/>
      <c r="D69" s="743"/>
    </row>
  </sheetData>
  <mergeCells count="12">
    <mergeCell ref="A21:A36"/>
    <mergeCell ref="A5:A20"/>
    <mergeCell ref="A53:A68"/>
    <mergeCell ref="B37:B44"/>
    <mergeCell ref="B45:B52"/>
    <mergeCell ref="B61:B68"/>
    <mergeCell ref="A37:A52"/>
    <mergeCell ref="B5:B12"/>
    <mergeCell ref="B13:B20"/>
    <mergeCell ref="B21:B28"/>
    <mergeCell ref="B29:B36"/>
    <mergeCell ref="B53:B60"/>
  </mergeCells>
  <phoneticPr fontId="16" type="noConversion"/>
  <pageMargins left="0.25" right="0.25" top="0.75" bottom="0.75" header="0.3" footer="0.3"/>
  <pageSetup paperSize="8" orientation="landscape" r:id="rId1"/>
  <headerFooter>
    <oddFooter>&amp;C_x000D_&amp;1#&amp;"Calibri"&amp;10&amp;K000000 C2 -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F58F8-2766-4F56-8196-1DB8E115B803}">
  <sheetPr codeName="Sheet5" filterMode="1">
    <tabColor rgb="FFFFFF00"/>
    <pageSetUpPr fitToPage="1"/>
  </sheetPr>
  <dimension ref="A1:R112"/>
  <sheetViews>
    <sheetView topLeftCell="A2" zoomScale="60" zoomScaleNormal="60" workbookViewId="0">
      <selection activeCell="A3" sqref="A3"/>
    </sheetView>
  </sheetViews>
  <sheetFormatPr defaultColWidth="8.5703125" defaultRowHeight="23.45"/>
  <cols>
    <col min="1" max="1" width="42.42578125" style="230" customWidth="1"/>
    <col min="2" max="2" width="18.42578125" style="437" customWidth="1"/>
    <col min="3" max="3" width="79.42578125" style="440" customWidth="1"/>
    <col min="4" max="4" width="10.42578125" style="224" customWidth="1"/>
    <col min="5" max="5" width="74.5703125" style="438" customWidth="1"/>
    <col min="6" max="7" width="23" style="439" customWidth="1"/>
    <col min="8" max="10" width="12.5703125" style="439" hidden="1" customWidth="1"/>
    <col min="11" max="11" width="30" style="439" customWidth="1"/>
    <col min="12" max="13" width="30" style="230" customWidth="1"/>
    <col min="14" max="15" width="30" style="850" customWidth="1"/>
    <col min="16" max="16" width="24" style="454" customWidth="1"/>
    <col min="17" max="17" width="33.42578125" style="230" customWidth="1"/>
    <col min="18" max="18" width="37.5703125" style="230" customWidth="1"/>
    <col min="19" max="19" width="38.5703125" style="230" customWidth="1"/>
    <col min="20" max="16384" width="8.5703125" style="230"/>
  </cols>
  <sheetData>
    <row r="1" spans="1:18" ht="39" customHeight="1">
      <c r="A1" s="221" t="s">
        <v>2</v>
      </c>
      <c r="B1" s="222"/>
      <c r="C1" s="223"/>
      <c r="E1" s="225"/>
      <c r="F1" s="226"/>
      <c r="G1" s="226"/>
      <c r="H1" s="227"/>
      <c r="I1" s="226"/>
      <c r="J1" s="226"/>
      <c r="K1" s="226"/>
      <c r="L1" s="228"/>
      <c r="M1" s="228"/>
      <c r="N1" s="809"/>
      <c r="O1" s="809"/>
      <c r="P1" s="229"/>
    </row>
    <row r="2" spans="1:18" ht="69.75" customHeight="1">
      <c r="A2" s="231" t="s">
        <v>3</v>
      </c>
      <c r="B2" s="232"/>
      <c r="C2" s="231" t="s">
        <v>4</v>
      </c>
      <c r="D2" s="233" t="s">
        <v>5</v>
      </c>
      <c r="E2" s="231" t="s">
        <v>6</v>
      </c>
      <c r="F2" s="234" t="s">
        <v>7</v>
      </c>
      <c r="G2" s="234" t="s">
        <v>8</v>
      </c>
      <c r="H2" s="234" t="s">
        <v>9</v>
      </c>
      <c r="I2" s="234" t="s">
        <v>10</v>
      </c>
      <c r="J2" s="234" t="s">
        <v>11</v>
      </c>
      <c r="K2" s="234" t="s">
        <v>12</v>
      </c>
      <c r="L2" s="234" t="s">
        <v>13</v>
      </c>
      <c r="M2" s="234" t="s">
        <v>14</v>
      </c>
      <c r="N2" s="810" t="s">
        <v>15</v>
      </c>
      <c r="O2" s="810" t="s">
        <v>16</v>
      </c>
      <c r="P2" s="235" t="s">
        <v>17</v>
      </c>
      <c r="Q2" s="234" t="s">
        <v>18</v>
      </c>
    </row>
    <row r="3" spans="1:18" s="244" customFormat="1" ht="39.6">
      <c r="A3" s="3435" t="s">
        <v>19</v>
      </c>
      <c r="B3" s="3438" t="s">
        <v>20</v>
      </c>
      <c r="C3" s="236" t="s">
        <v>21</v>
      </c>
      <c r="D3" s="237">
        <v>2020</v>
      </c>
      <c r="E3" s="238" t="s">
        <v>22</v>
      </c>
      <c r="F3" s="239" t="s">
        <v>23</v>
      </c>
      <c r="G3" s="239" t="s">
        <v>23</v>
      </c>
      <c r="H3" s="237" t="s">
        <v>24</v>
      </c>
      <c r="I3" s="237" t="s">
        <v>24</v>
      </c>
      <c r="J3" s="237" t="s">
        <v>24</v>
      </c>
      <c r="K3" s="237" t="s">
        <v>24</v>
      </c>
      <c r="L3" s="237" t="s">
        <v>24</v>
      </c>
      <c r="M3" s="240" t="s">
        <v>25</v>
      </c>
      <c r="N3" s="811"/>
      <c r="O3" s="811"/>
      <c r="P3" s="241">
        <v>1</v>
      </c>
      <c r="Q3" s="242"/>
      <c r="R3" s="243"/>
    </row>
    <row r="4" spans="1:18" s="244" customFormat="1" ht="29.45">
      <c r="A4" s="3436"/>
      <c r="B4" s="3439"/>
      <c r="C4" s="3441" t="s">
        <v>26</v>
      </c>
      <c r="D4" s="245">
        <v>2038</v>
      </c>
      <c r="E4" s="246" t="s">
        <v>22</v>
      </c>
      <c r="F4" s="247" t="s">
        <v>23</v>
      </c>
      <c r="G4" s="247" t="s">
        <v>23</v>
      </c>
      <c r="H4" s="245" t="s">
        <v>24</v>
      </c>
      <c r="I4" s="245" t="s">
        <v>24</v>
      </c>
      <c r="J4" s="245" t="s">
        <v>24</v>
      </c>
      <c r="K4" s="245" t="s">
        <v>24</v>
      </c>
      <c r="L4" s="245" t="s">
        <v>24</v>
      </c>
      <c r="M4" s="248" t="s">
        <v>27</v>
      </c>
      <c r="N4" s="812"/>
      <c r="O4" s="812"/>
      <c r="P4" s="248" t="s">
        <v>24</v>
      </c>
      <c r="Q4" s="249"/>
      <c r="R4" s="243"/>
    </row>
    <row r="5" spans="1:18" s="244" customFormat="1" ht="39.6">
      <c r="A5" s="3436"/>
      <c r="B5" s="3439"/>
      <c r="C5" s="3442"/>
      <c r="D5" s="250" t="s">
        <v>24</v>
      </c>
      <c r="E5" s="251" t="s">
        <v>28</v>
      </c>
      <c r="F5" s="247" t="s">
        <v>29</v>
      </c>
      <c r="G5" s="247" t="s">
        <v>29</v>
      </c>
      <c r="H5" s="252" t="s">
        <v>30</v>
      </c>
      <c r="I5" s="252" t="s">
        <v>30</v>
      </c>
      <c r="J5" s="252" t="s">
        <v>30</v>
      </c>
      <c r="K5" s="253">
        <f>[1]Emissions!M8</f>
        <v>27900489.599840976</v>
      </c>
      <c r="L5" s="252">
        <f>[1]Emissions!L8</f>
        <v>32727245.940000001</v>
      </c>
      <c r="M5" s="252">
        <v>15622932.869999999</v>
      </c>
      <c r="N5" s="813">
        <v>15081858</v>
      </c>
      <c r="O5" s="813">
        <v>16945874</v>
      </c>
      <c r="P5" s="254">
        <f t="shared" ref="P5:P16" si="0">(O5-N5)/N5</f>
        <v>0.12359326019380371</v>
      </c>
      <c r="Q5" s="262"/>
      <c r="R5" s="243"/>
    </row>
    <row r="6" spans="1:18" s="244" customFormat="1" ht="39.6">
      <c r="A6" s="3436"/>
      <c r="B6" s="3439"/>
      <c r="C6" s="3442"/>
      <c r="D6" s="250"/>
      <c r="E6" s="256" t="s">
        <v>31</v>
      </c>
      <c r="F6" s="247" t="s">
        <v>23</v>
      </c>
      <c r="G6" s="247" t="s">
        <v>29</v>
      </c>
      <c r="H6" s="252" t="s">
        <v>30</v>
      </c>
      <c r="I6" s="252" t="s">
        <v>30</v>
      </c>
      <c r="J6" s="252" t="s">
        <v>30</v>
      </c>
      <c r="K6" s="257">
        <f>SUM(1/[1]Energy!AA31)*[1]Energy!AA30</f>
        <v>0.71451923437501386</v>
      </c>
      <c r="L6" s="258">
        <f>SUM(1/[1]Energy!Z31)*[1]Energy!Z30</f>
        <v>0.59156317481415799</v>
      </c>
      <c r="M6" s="258">
        <f>SUM(1/[1]Energy!Y31)*[1]Energy!Y30</f>
        <v>0.60674224246903874</v>
      </c>
      <c r="N6" s="721">
        <v>0.50600000000000001</v>
      </c>
      <c r="O6" s="721">
        <v>0.6</v>
      </c>
      <c r="P6" s="254">
        <f t="shared" si="0"/>
        <v>0.18577075098814225</v>
      </c>
      <c r="Q6" s="255"/>
      <c r="R6" s="243"/>
    </row>
    <row r="7" spans="1:18" s="244" customFormat="1" ht="39.6">
      <c r="A7" s="3436"/>
      <c r="B7" s="3439"/>
      <c r="C7" s="3442"/>
      <c r="D7" s="250"/>
      <c r="E7" s="256" t="s">
        <v>32</v>
      </c>
      <c r="F7" s="247" t="s">
        <v>23</v>
      </c>
      <c r="G7" s="247" t="s">
        <v>29</v>
      </c>
      <c r="H7" s="252" t="s">
        <v>30</v>
      </c>
      <c r="I7" s="252" t="s">
        <v>30</v>
      </c>
      <c r="J7" s="252" t="s">
        <v>30</v>
      </c>
      <c r="K7" s="253">
        <f>[1]Emissions!$M$14</f>
        <v>7283.6738736229527</v>
      </c>
      <c r="L7" s="252">
        <f>[1]Emissions!$L$14</f>
        <v>7914.6457762768623</v>
      </c>
      <c r="M7" s="252">
        <v>3378</v>
      </c>
      <c r="N7" s="813">
        <v>3057</v>
      </c>
      <c r="O7" s="813">
        <v>3211</v>
      </c>
      <c r="P7" s="254">
        <f t="shared" si="0"/>
        <v>5.0376185803074909E-2</v>
      </c>
      <c r="Q7" s="262"/>
      <c r="R7" s="243"/>
    </row>
    <row r="8" spans="1:18" s="244" customFormat="1" ht="39.6">
      <c r="A8" s="3436"/>
      <c r="B8" s="3439"/>
      <c r="C8" s="3442"/>
      <c r="D8" s="250"/>
      <c r="E8" s="256" t="s">
        <v>33</v>
      </c>
      <c r="F8" s="247" t="s">
        <v>29</v>
      </c>
      <c r="G8" s="247" t="s">
        <v>29</v>
      </c>
      <c r="H8" s="252" t="s">
        <v>30</v>
      </c>
      <c r="I8" s="252" t="s">
        <v>30</v>
      </c>
      <c r="J8" s="252" t="s">
        <v>30</v>
      </c>
      <c r="K8" s="253">
        <f>[1]Emissions!$M$15</f>
        <v>1506.9280854179522</v>
      </c>
      <c r="L8" s="252">
        <f>[1]Emissions!$L$15</f>
        <v>2961.3057762768617</v>
      </c>
      <c r="M8" s="252">
        <v>1580</v>
      </c>
      <c r="N8" s="813">
        <v>1368</v>
      </c>
      <c r="O8" s="813">
        <v>1165</v>
      </c>
      <c r="P8" s="254">
        <f t="shared" si="0"/>
        <v>-0.14839181286549707</v>
      </c>
      <c r="Q8" s="255"/>
      <c r="R8" s="243"/>
    </row>
    <row r="9" spans="1:18" s="244" customFormat="1" ht="39.6">
      <c r="A9" s="3436"/>
      <c r="B9" s="3439"/>
      <c r="C9" s="3442"/>
      <c r="D9" s="250" t="s">
        <v>24</v>
      </c>
      <c r="E9" s="260" t="s">
        <v>34</v>
      </c>
      <c r="F9" s="247" t="s">
        <v>29</v>
      </c>
      <c r="G9" s="247" t="s">
        <v>29</v>
      </c>
      <c r="H9" s="252" t="s">
        <v>30</v>
      </c>
      <c r="I9" s="252" t="s">
        <v>30</v>
      </c>
      <c r="J9" s="252" t="s">
        <v>30</v>
      </c>
      <c r="K9" s="261">
        <f>[1]Emissions!M18</f>
        <v>0.17678226441060682</v>
      </c>
      <c r="L9" s="261">
        <f>[1]Emissions!L18</f>
        <v>0.36161368019712709</v>
      </c>
      <c r="M9" s="261">
        <v>0.33</v>
      </c>
      <c r="N9" s="856">
        <v>0.24</v>
      </c>
      <c r="O9" s="856">
        <v>0.16</v>
      </c>
      <c r="P9" s="254">
        <f t="shared" si="0"/>
        <v>-0.33333333333333331</v>
      </c>
      <c r="Q9" s="255"/>
      <c r="R9" s="243"/>
    </row>
    <row r="10" spans="1:18" s="244" customFormat="1" ht="39.6">
      <c r="A10" s="3436"/>
      <c r="B10" s="3439"/>
      <c r="C10" s="3442"/>
      <c r="D10" s="250"/>
      <c r="E10" s="263" t="s">
        <v>35</v>
      </c>
      <c r="F10" s="247" t="s">
        <v>29</v>
      </c>
      <c r="G10" s="247" t="s">
        <v>29</v>
      </c>
      <c r="H10" s="252" t="s">
        <v>30</v>
      </c>
      <c r="I10" s="252" t="s">
        <v>30</v>
      </c>
      <c r="J10" s="252" t="s">
        <v>30</v>
      </c>
      <c r="K10" s="264">
        <f>[1]Emissions!$M$19</f>
        <v>1506.9280854179522</v>
      </c>
      <c r="L10" s="264">
        <f>[1]Emissions!$L$19</f>
        <v>2961.3057762768617</v>
      </c>
      <c r="M10" s="264">
        <f>[1]Emissions!$K$19</f>
        <v>1944.27</v>
      </c>
      <c r="N10" s="857">
        <v>1368</v>
      </c>
      <c r="O10" s="857">
        <v>1165</v>
      </c>
      <c r="P10" s="254">
        <f t="shared" si="0"/>
        <v>-0.14839181286549707</v>
      </c>
      <c r="Q10" s="262"/>
      <c r="R10" s="243"/>
    </row>
    <row r="11" spans="1:18" s="244" customFormat="1" ht="40.15" thickBot="1">
      <c r="A11" s="3436"/>
      <c r="B11" s="3439"/>
      <c r="C11" s="3442"/>
      <c r="D11" s="250" t="s">
        <v>24</v>
      </c>
      <c r="E11" s="265" t="s">
        <v>36</v>
      </c>
      <c r="F11" s="247" t="s">
        <v>29</v>
      </c>
      <c r="G11" s="247" t="s">
        <v>29</v>
      </c>
      <c r="H11" s="252" t="s">
        <v>30</v>
      </c>
      <c r="I11" s="252" t="s">
        <v>30</v>
      </c>
      <c r="J11" s="252" t="s">
        <v>30</v>
      </c>
      <c r="K11" s="252">
        <f>[1]Emissions!M21</f>
        <v>0</v>
      </c>
      <c r="L11" s="252">
        <f>[1]Emissions!L21</f>
        <v>0</v>
      </c>
      <c r="M11" s="252">
        <f>[1]Emissions!K21</f>
        <v>0</v>
      </c>
      <c r="N11" s="813">
        <v>0</v>
      </c>
      <c r="O11" s="813">
        <v>0</v>
      </c>
      <c r="P11" s="254" t="e">
        <f t="shared" si="0"/>
        <v>#DIV/0!</v>
      </c>
      <c r="Q11" s="278"/>
      <c r="R11" s="243"/>
    </row>
    <row r="12" spans="1:18" s="244" customFormat="1" ht="39.6">
      <c r="A12" s="3436"/>
      <c r="B12" s="3439"/>
      <c r="C12" s="3441" t="s">
        <v>37</v>
      </c>
      <c r="D12" s="3443">
        <v>2022</v>
      </c>
      <c r="E12" s="266" t="s">
        <v>157</v>
      </c>
      <c r="F12" s="247" t="s">
        <v>23</v>
      </c>
      <c r="G12" s="247" t="s">
        <v>29</v>
      </c>
      <c r="H12" s="267">
        <v>1</v>
      </c>
      <c r="I12" s="267">
        <v>1</v>
      </c>
      <c r="J12" s="267">
        <v>1</v>
      </c>
      <c r="K12" s="267">
        <v>1</v>
      </c>
      <c r="L12" s="267">
        <v>1</v>
      </c>
      <c r="M12" s="267">
        <v>1</v>
      </c>
      <c r="N12" s="815">
        <v>1</v>
      </c>
      <c r="O12" s="815">
        <v>1</v>
      </c>
      <c r="P12" s="254">
        <f t="shared" si="0"/>
        <v>0</v>
      </c>
      <c r="Q12" s="278"/>
      <c r="R12" s="243"/>
    </row>
    <row r="13" spans="1:18" s="244" customFormat="1" ht="39.6">
      <c r="A13" s="3436"/>
      <c r="B13" s="3439"/>
      <c r="C13" s="3441"/>
      <c r="D13" s="3443"/>
      <c r="E13" s="266" t="s">
        <v>158</v>
      </c>
      <c r="F13" s="247" t="s">
        <v>23</v>
      </c>
      <c r="G13" s="247" t="s">
        <v>29</v>
      </c>
      <c r="H13" s="267">
        <v>0</v>
      </c>
      <c r="I13" s="267">
        <v>0</v>
      </c>
      <c r="J13" s="267">
        <v>0</v>
      </c>
      <c r="K13" s="267">
        <v>0</v>
      </c>
      <c r="L13" s="267">
        <v>0</v>
      </c>
      <c r="M13" s="267">
        <v>0</v>
      </c>
      <c r="N13" s="815">
        <v>0</v>
      </c>
      <c r="O13" s="815">
        <v>0</v>
      </c>
      <c r="P13" s="254" t="e">
        <f t="shared" si="0"/>
        <v>#DIV/0!</v>
      </c>
      <c r="Q13" s="278"/>
      <c r="R13" s="243"/>
    </row>
    <row r="14" spans="1:18" s="244" customFormat="1" ht="29.45">
      <c r="A14" s="3436"/>
      <c r="B14" s="3439"/>
      <c r="C14" s="3441"/>
      <c r="D14" s="3443"/>
      <c r="E14" s="251" t="s">
        <v>41</v>
      </c>
      <c r="F14" s="247" t="s">
        <v>23</v>
      </c>
      <c r="G14" s="247" t="s">
        <v>29</v>
      </c>
      <c r="H14" s="269">
        <f>'[1]Water&amp;effluents'!F7</f>
        <v>0.94299999999999995</v>
      </c>
      <c r="I14" s="269">
        <f>'[1]Water&amp;effluents'!G7</f>
        <v>0.96899999999999997</v>
      </c>
      <c r="J14" s="269">
        <f>'[1]Water&amp;effluents'!H7</f>
        <v>0.94499999999999995</v>
      </c>
      <c r="K14" s="269">
        <f>'[1]Water&amp;effluents'!I7</f>
        <v>0.82857142857142851</v>
      </c>
      <c r="L14" s="269">
        <f>'[1]Water&amp;effluents'!L7</f>
        <v>0.87179487179487181</v>
      </c>
      <c r="M14" s="254">
        <f>'[1]Water&amp;effluents'!O7</f>
        <v>0.83333333333333326</v>
      </c>
      <c r="N14" s="858">
        <v>0.83099999999999996</v>
      </c>
      <c r="O14" s="858">
        <v>0.98099999999999998</v>
      </c>
      <c r="P14" s="254">
        <f t="shared" si="0"/>
        <v>0.18050541516245491</v>
      </c>
      <c r="Q14" s="268"/>
      <c r="R14" s="243"/>
    </row>
    <row r="15" spans="1:18" s="244" customFormat="1" ht="29.45">
      <c r="A15" s="3436"/>
      <c r="B15" s="3439"/>
      <c r="C15" s="3442"/>
      <c r="D15" s="3444"/>
      <c r="E15" s="266" t="s">
        <v>42</v>
      </c>
      <c r="F15" s="247" t="s">
        <v>23</v>
      </c>
      <c r="G15" s="247" t="s">
        <v>29</v>
      </c>
      <c r="H15" s="269">
        <f>'[1]Water&amp;effluents'!F10</f>
        <v>0.82399999999999995</v>
      </c>
      <c r="I15" s="269">
        <f>'[1]Water&amp;effluents'!G10</f>
        <v>0.98899999999999999</v>
      </c>
      <c r="J15" s="269">
        <f>'[1]Water&amp;effluents'!H10</f>
        <v>0.96</v>
      </c>
      <c r="K15" s="269">
        <f>'[1]Water&amp;effluents'!I10</f>
        <v>0.73333333333333339</v>
      </c>
      <c r="L15" s="269">
        <f>'[1]Water&amp;effluents'!L10</f>
        <v>0.7</v>
      </c>
      <c r="M15" s="254">
        <f>'[1]Water&amp;effluents'!O10</f>
        <v>0.88372093023255816</v>
      </c>
      <c r="N15" s="858">
        <v>0.81499999999999995</v>
      </c>
      <c r="O15" s="858">
        <v>0.96299999999999997</v>
      </c>
      <c r="P15" s="254">
        <f t="shared" si="0"/>
        <v>0.18159509202453991</v>
      </c>
      <c r="Q15" s="268"/>
      <c r="R15" s="243"/>
    </row>
    <row r="16" spans="1:18" s="244" customFormat="1" ht="29.45">
      <c r="A16" s="3436"/>
      <c r="B16" s="3439"/>
      <c r="C16" s="3442"/>
      <c r="D16" s="3444"/>
      <c r="E16" s="270" t="s">
        <v>43</v>
      </c>
      <c r="F16" s="247" t="s">
        <v>23</v>
      </c>
      <c r="G16" s="247" t="s">
        <v>29</v>
      </c>
      <c r="H16" s="271">
        <f>'[1]Air Quality Monitoring'!H11</f>
        <v>0</v>
      </c>
      <c r="I16" s="271">
        <f>'[1]Air Quality Monitoring'!I11</f>
        <v>0</v>
      </c>
      <c r="J16" s="271">
        <f>'[1]Air Quality Monitoring'!J11</f>
        <v>0</v>
      </c>
      <c r="K16" s="271">
        <f>'[1]Air Quality Monitoring'!K11</f>
        <v>0</v>
      </c>
      <c r="L16" s="271">
        <f>'[1]Air Quality Monitoring'!N11</f>
        <v>0</v>
      </c>
      <c r="M16" s="272">
        <f>'[1]Air Quality Monitoring'!Q11</f>
        <v>0</v>
      </c>
      <c r="N16" s="818">
        <v>0</v>
      </c>
      <c r="O16" s="818">
        <v>0</v>
      </c>
      <c r="P16" s="254" t="e">
        <f t="shared" si="0"/>
        <v>#DIV/0!</v>
      </c>
      <c r="Q16" s="278"/>
      <c r="R16" s="243"/>
    </row>
    <row r="17" spans="1:18" s="244" customFormat="1" ht="79.150000000000006">
      <c r="A17" s="3437"/>
      <c r="B17" s="3440"/>
      <c r="C17" s="273" t="s">
        <v>44</v>
      </c>
      <c r="D17" s="245">
        <v>2020</v>
      </c>
      <c r="E17" s="246" t="s">
        <v>22</v>
      </c>
      <c r="F17" s="247" t="s">
        <v>23</v>
      </c>
      <c r="G17" s="247" t="s">
        <v>23</v>
      </c>
      <c r="H17" s="245" t="s">
        <v>24</v>
      </c>
      <c r="I17" s="245" t="s">
        <v>24</v>
      </c>
      <c r="J17" s="245" t="s">
        <v>24</v>
      </c>
      <c r="K17" s="245" t="s">
        <v>24</v>
      </c>
      <c r="L17" s="245" t="s">
        <v>24</v>
      </c>
      <c r="M17" s="248" t="s">
        <v>45</v>
      </c>
      <c r="N17" s="812"/>
      <c r="O17" s="812"/>
      <c r="P17" s="274" t="s">
        <v>24</v>
      </c>
      <c r="Q17" s="249"/>
      <c r="R17" s="243"/>
    </row>
    <row r="18" spans="1:18" s="244" customFormat="1" ht="79.150000000000006">
      <c r="A18" s="3437"/>
      <c r="B18" s="3440"/>
      <c r="C18" s="273" t="s">
        <v>46</v>
      </c>
      <c r="D18" s="245">
        <v>2021</v>
      </c>
      <c r="E18" s="246" t="s">
        <v>22</v>
      </c>
      <c r="F18" s="247" t="s">
        <v>23</v>
      </c>
      <c r="G18" s="247" t="s">
        <v>23</v>
      </c>
      <c r="H18" s="245" t="s">
        <v>24</v>
      </c>
      <c r="I18" s="245" t="s">
        <v>24</v>
      </c>
      <c r="J18" s="245" t="s">
        <v>24</v>
      </c>
      <c r="K18" s="245" t="s">
        <v>24</v>
      </c>
      <c r="L18" s="245" t="s">
        <v>24</v>
      </c>
      <c r="M18" s="248" t="s">
        <v>45</v>
      </c>
      <c r="N18" s="812"/>
      <c r="O18" s="812"/>
      <c r="P18" s="274" t="s">
        <v>24</v>
      </c>
      <c r="Q18" s="249"/>
      <c r="R18" s="243"/>
    </row>
    <row r="19" spans="1:18" s="244" customFormat="1" ht="29.45">
      <c r="A19" s="3437"/>
      <c r="B19" s="3440"/>
      <c r="C19" s="3441" t="s">
        <v>47</v>
      </c>
      <c r="D19" s="3443">
        <v>2021</v>
      </c>
      <c r="E19" s="251" t="s">
        <v>48</v>
      </c>
      <c r="F19" s="247" t="s">
        <v>23</v>
      </c>
      <c r="G19" s="247" t="s">
        <v>29</v>
      </c>
      <c r="H19" s="275">
        <f>'[1]Waste Performance'!AL8</f>
        <v>483.6</v>
      </c>
      <c r="I19" s="275">
        <f>'[1]Waste Performance'!AM8</f>
        <v>485</v>
      </c>
      <c r="J19" s="275">
        <f>'[1]Waste Performance'!AN8</f>
        <v>727.58</v>
      </c>
      <c r="K19" s="275">
        <f>'[1]Waste Performance'!AO8</f>
        <v>689.77</v>
      </c>
      <c r="L19" s="275">
        <f>'[1]Waste Performance'!AR8</f>
        <v>651.54999999999995</v>
      </c>
      <c r="M19" s="276">
        <f>'[1]Waste Performance'!AU8</f>
        <v>149.12</v>
      </c>
      <c r="N19" s="819">
        <v>244</v>
      </c>
      <c r="O19" s="819">
        <v>519.9</v>
      </c>
      <c r="P19" s="254">
        <f t="shared" ref="P19:P22" si="1">(O19-N19)/N19</f>
        <v>1.1307377049180327</v>
      </c>
      <c r="Q19" s="278"/>
      <c r="R19" s="243"/>
    </row>
    <row r="20" spans="1:18" s="244" customFormat="1" ht="29.45">
      <c r="A20" s="3437"/>
      <c r="B20" s="3440"/>
      <c r="C20" s="3441"/>
      <c r="D20" s="3443"/>
      <c r="E20" s="251" t="s">
        <v>156</v>
      </c>
      <c r="F20" s="247" t="s">
        <v>23</v>
      </c>
      <c r="G20" s="247" t="s">
        <v>29</v>
      </c>
      <c r="H20" s="275" t="s">
        <v>50</v>
      </c>
      <c r="I20" s="275" t="s">
        <v>50</v>
      </c>
      <c r="J20" s="275" t="s">
        <v>50</v>
      </c>
      <c r="K20" s="279">
        <f>SUM(K19/([1]Emissions!M16))</f>
        <v>8.0918992553439595E-2</v>
      </c>
      <c r="L20" s="279">
        <f>SUM(L19/([1]Emissions!L16))</f>
        <v>7.9562669691159341E-2</v>
      </c>
      <c r="M20" s="477">
        <f>SUM(M19/([1]Emissions!K16))</f>
        <v>3.1014646059286811E-2</v>
      </c>
      <c r="N20" s="820">
        <v>0.04</v>
      </c>
      <c r="O20" s="820">
        <v>7.0000000000000007E-2</v>
      </c>
      <c r="P20" s="254">
        <f t="shared" si="1"/>
        <v>0.75000000000000011</v>
      </c>
      <c r="Q20" s="278"/>
      <c r="R20" s="243"/>
    </row>
    <row r="21" spans="1:18" s="244" customFormat="1" ht="29.45">
      <c r="A21" s="3437"/>
      <c r="B21" s="3440"/>
      <c r="C21" s="3441"/>
      <c r="D21" s="3443"/>
      <c r="E21" s="251" t="s">
        <v>51</v>
      </c>
      <c r="F21" s="247" t="s">
        <v>23</v>
      </c>
      <c r="G21" s="247" t="s">
        <v>29</v>
      </c>
      <c r="H21" s="280" t="s">
        <v>24</v>
      </c>
      <c r="I21" s="280" t="s">
        <v>24</v>
      </c>
      <c r="J21" s="280" t="s">
        <v>24</v>
      </c>
      <c r="K21" s="280" t="s">
        <v>24</v>
      </c>
      <c r="L21" s="280" t="s">
        <v>24</v>
      </c>
      <c r="M21" s="281">
        <f>'[1]Waste Performance'!AU30</f>
        <v>0.28500536480686695</v>
      </c>
      <c r="N21" s="815">
        <v>0.317</v>
      </c>
      <c r="O21" s="815">
        <v>0.13300000000000001</v>
      </c>
      <c r="P21" s="254">
        <f t="shared" si="1"/>
        <v>-0.58044164037854884</v>
      </c>
      <c r="Q21" s="262"/>
      <c r="R21" s="243"/>
    </row>
    <row r="22" spans="1:18" s="244" customFormat="1" ht="29.45">
      <c r="A22" s="3437"/>
      <c r="B22" s="3440"/>
      <c r="C22" s="3441"/>
      <c r="D22" s="3443"/>
      <c r="E22" s="266" t="s">
        <v>52</v>
      </c>
      <c r="F22" s="247" t="s">
        <v>23</v>
      </c>
      <c r="G22" s="247" t="s">
        <v>29</v>
      </c>
      <c r="H22" s="282">
        <f>'[1]Waste Performance'!AL9</f>
        <v>0.78308519437551705</v>
      </c>
      <c r="I22" s="282">
        <f>'[1]Waste Performance'!AM9</f>
        <v>0.9</v>
      </c>
      <c r="J22" s="282">
        <f>'[1]Waste Performance'!AN9</f>
        <v>0.97</v>
      </c>
      <c r="K22" s="282">
        <f>'[1]Waste Performance'!AO9</f>
        <v>0.96750000000000003</v>
      </c>
      <c r="L22" s="282">
        <f>'[1]Waste Performance'!AR9</f>
        <v>0.97099999999999997</v>
      </c>
      <c r="M22" s="283">
        <f>'[1]Waste Performance'!AU9</f>
        <v>0.9627</v>
      </c>
      <c r="N22" s="721">
        <v>0.63</v>
      </c>
      <c r="O22" s="721">
        <v>0.66400000000000003</v>
      </c>
      <c r="P22" s="254">
        <f t="shared" si="1"/>
        <v>5.3968253968254012E-2</v>
      </c>
      <c r="Q22" s="284"/>
      <c r="R22" s="243"/>
    </row>
    <row r="23" spans="1:18" s="244" customFormat="1" ht="39.6">
      <c r="A23" s="3437"/>
      <c r="B23" s="3440"/>
      <c r="C23" s="273" t="s">
        <v>53</v>
      </c>
      <c r="D23" s="245">
        <v>2021</v>
      </c>
      <c r="E23" s="246" t="s">
        <v>22</v>
      </c>
      <c r="F23" s="247" t="s">
        <v>23</v>
      </c>
      <c r="G23" s="247" t="s">
        <v>23</v>
      </c>
      <c r="H23" s="245" t="s">
        <v>24</v>
      </c>
      <c r="I23" s="245" t="s">
        <v>24</v>
      </c>
      <c r="J23" s="245" t="s">
        <v>24</v>
      </c>
      <c r="K23" s="245" t="s">
        <v>24</v>
      </c>
      <c r="L23" s="245" t="s">
        <v>24</v>
      </c>
      <c r="M23" s="248" t="s">
        <v>45</v>
      </c>
      <c r="N23" s="812"/>
      <c r="O23" s="812"/>
      <c r="P23" s="274" t="s">
        <v>24</v>
      </c>
      <c r="Q23" s="249"/>
      <c r="R23" s="243"/>
    </row>
    <row r="24" spans="1:18" s="244" customFormat="1" ht="39.6">
      <c r="A24" s="3437"/>
      <c r="B24" s="3440"/>
      <c r="C24" s="273" t="s">
        <v>54</v>
      </c>
      <c r="D24" s="245">
        <v>2021</v>
      </c>
      <c r="E24" s="246" t="s">
        <v>22</v>
      </c>
      <c r="F24" s="247" t="s">
        <v>23</v>
      </c>
      <c r="G24" s="247" t="s">
        <v>23</v>
      </c>
      <c r="H24" s="245" t="s">
        <v>24</v>
      </c>
      <c r="I24" s="245" t="s">
        <v>24</v>
      </c>
      <c r="J24" s="245" t="s">
        <v>24</v>
      </c>
      <c r="K24" s="245" t="s">
        <v>24</v>
      </c>
      <c r="L24" s="245" t="s">
        <v>24</v>
      </c>
      <c r="M24" s="248" t="s">
        <v>45</v>
      </c>
      <c r="N24" s="812"/>
      <c r="O24" s="812"/>
      <c r="P24" s="274" t="s">
        <v>24</v>
      </c>
      <c r="Q24" s="249"/>
      <c r="R24" s="243"/>
    </row>
    <row r="25" spans="1:18" s="244" customFormat="1" ht="59.45">
      <c r="A25" s="3437"/>
      <c r="B25" s="3440"/>
      <c r="C25" s="273" t="s">
        <v>55</v>
      </c>
      <c r="D25" s="245">
        <v>2021</v>
      </c>
      <c r="E25" s="246" t="s">
        <v>22</v>
      </c>
      <c r="F25" s="247" t="s">
        <v>23</v>
      </c>
      <c r="G25" s="247" t="s">
        <v>23</v>
      </c>
      <c r="H25" s="245" t="s">
        <v>24</v>
      </c>
      <c r="I25" s="245" t="s">
        <v>24</v>
      </c>
      <c r="J25" s="245" t="s">
        <v>24</v>
      </c>
      <c r="K25" s="245" t="s">
        <v>24</v>
      </c>
      <c r="L25" s="245" t="s">
        <v>24</v>
      </c>
      <c r="M25" s="248" t="s">
        <v>56</v>
      </c>
      <c r="N25" s="812"/>
      <c r="O25" s="812"/>
      <c r="P25" s="274">
        <v>1</v>
      </c>
      <c r="Q25" s="268"/>
      <c r="R25" s="243"/>
    </row>
    <row r="26" spans="1:18" s="244" customFormat="1" ht="59.45">
      <c r="A26" s="3437"/>
      <c r="B26" s="3440"/>
      <c r="C26" s="285" t="s">
        <v>57</v>
      </c>
      <c r="D26" s="245">
        <v>2021</v>
      </c>
      <c r="E26" s="246" t="s">
        <v>22</v>
      </c>
      <c r="F26" s="247" t="s">
        <v>23</v>
      </c>
      <c r="G26" s="247" t="s">
        <v>23</v>
      </c>
      <c r="H26" s="245" t="s">
        <v>24</v>
      </c>
      <c r="I26" s="245" t="s">
        <v>24</v>
      </c>
      <c r="J26" s="245" t="s">
        <v>24</v>
      </c>
      <c r="K26" s="245" t="s">
        <v>24</v>
      </c>
      <c r="L26" s="245" t="s">
        <v>24</v>
      </c>
      <c r="M26" s="248" t="s">
        <v>27</v>
      </c>
      <c r="N26" s="812"/>
      <c r="O26" s="812"/>
      <c r="P26" s="248" t="s">
        <v>24</v>
      </c>
      <c r="Q26" s="249"/>
      <c r="R26" s="243"/>
    </row>
    <row r="27" spans="1:18" s="244" customFormat="1" ht="29.45">
      <c r="A27" s="3437"/>
      <c r="B27" s="3440"/>
      <c r="C27" s="3445" t="s">
        <v>58</v>
      </c>
      <c r="D27" s="245">
        <v>2021</v>
      </c>
      <c r="E27" s="246" t="s">
        <v>22</v>
      </c>
      <c r="F27" s="247" t="s">
        <v>23</v>
      </c>
      <c r="G27" s="247" t="s">
        <v>23</v>
      </c>
      <c r="H27" s="245" t="s">
        <v>24</v>
      </c>
      <c r="I27" s="245" t="s">
        <v>24</v>
      </c>
      <c r="J27" s="245" t="s">
        <v>24</v>
      </c>
      <c r="K27" s="245" t="s">
        <v>24</v>
      </c>
      <c r="L27" s="245" t="s">
        <v>24</v>
      </c>
      <c r="M27" s="248" t="s">
        <v>27</v>
      </c>
      <c r="N27" s="812"/>
      <c r="O27" s="812"/>
      <c r="P27" s="248" t="s">
        <v>24</v>
      </c>
      <c r="Q27" s="249"/>
      <c r="R27" s="243"/>
    </row>
    <row r="28" spans="1:18" s="244" customFormat="1" ht="29.45">
      <c r="A28" s="3437"/>
      <c r="B28" s="3440"/>
      <c r="C28" s="3446"/>
      <c r="D28" s="245"/>
      <c r="E28" s="286" t="s">
        <v>59</v>
      </c>
      <c r="F28" s="247" t="s">
        <v>29</v>
      </c>
      <c r="G28" s="247" t="s">
        <v>29</v>
      </c>
      <c r="H28" s="245" t="s">
        <v>24</v>
      </c>
      <c r="I28" s="245" t="s">
        <v>24</v>
      </c>
      <c r="J28" s="245" t="s">
        <v>24</v>
      </c>
      <c r="K28" s="287" t="e">
        <f>'[1]Surface Access'!$E$22</f>
        <v>#REF!</v>
      </c>
      <c r="L28" s="287">
        <v>8.4000000000000005E-2</v>
      </c>
      <c r="M28" s="277">
        <v>9.0999999999999998E-2</v>
      </c>
      <c r="N28" s="821">
        <v>7.4999999999999997E-2</v>
      </c>
      <c r="O28" s="821">
        <v>9.5000000000000001E-2</v>
      </c>
      <c r="P28" s="254">
        <f t="shared" ref="P28:P30" si="2">(O28-N28)/N28</f>
        <v>0.26666666666666672</v>
      </c>
      <c r="Q28" s="268"/>
      <c r="R28" s="243"/>
    </row>
    <row r="29" spans="1:18" s="244" customFormat="1" ht="29.45">
      <c r="A29" s="3437"/>
      <c r="B29" s="3440"/>
      <c r="C29" s="3447"/>
      <c r="D29" s="245"/>
      <c r="E29" s="286" t="s">
        <v>60</v>
      </c>
      <c r="F29" s="247" t="s">
        <v>29</v>
      </c>
      <c r="G29" s="247" t="s">
        <v>29</v>
      </c>
      <c r="H29" s="245" t="s">
        <v>24</v>
      </c>
      <c r="I29" s="245" t="s">
        <v>24</v>
      </c>
      <c r="J29" s="245" t="s">
        <v>24</v>
      </c>
      <c r="K29" s="288">
        <f>'[1]Surface Access'!$E$10</f>
        <v>0</v>
      </c>
      <c r="L29" s="288">
        <f>'[1]Surface Access'!$J$10</f>
        <v>0</v>
      </c>
      <c r="M29" s="289">
        <f>'[1]Surface Access'!$O$10</f>
        <v>0</v>
      </c>
      <c r="N29" s="822"/>
      <c r="O29" s="822">
        <v>22309</v>
      </c>
      <c r="P29" s="254" t="e">
        <f t="shared" si="2"/>
        <v>#DIV/0!</v>
      </c>
      <c r="Q29" s="268"/>
      <c r="R29" s="243"/>
    </row>
    <row r="30" spans="1:18" s="244" customFormat="1" ht="29.45">
      <c r="A30" s="3437"/>
      <c r="B30" s="3440"/>
      <c r="C30" s="3447"/>
      <c r="D30" s="245"/>
      <c r="E30" s="290" t="s">
        <v>61</v>
      </c>
      <c r="F30" s="247" t="s">
        <v>29</v>
      </c>
      <c r="G30" s="247" t="s">
        <v>29</v>
      </c>
      <c r="H30" s="245" t="s">
        <v>24</v>
      </c>
      <c r="I30" s="245" t="s">
        <v>24</v>
      </c>
      <c r="J30" s="245" t="s">
        <v>24</v>
      </c>
      <c r="K30" s="291">
        <f>'[1]Surface Access'!$E$23</f>
        <v>9.6200000000000008E-2</v>
      </c>
      <c r="L30" s="291">
        <f>'[1]Surface Access'!$J$23</f>
        <v>0.31475911882782759</v>
      </c>
      <c r="M30" s="292">
        <f>'[1]Surface Access'!$O$23</f>
        <v>0.32186845478091197</v>
      </c>
      <c r="N30" s="499"/>
      <c r="O30" s="499">
        <f>(O29/'G4-AO1, 2, 3 - PAX, ATM, Cargo'!H5)*100</f>
        <v>0.66984579944920652</v>
      </c>
      <c r="P30" s="254" t="e">
        <f t="shared" si="2"/>
        <v>#DIV/0!</v>
      </c>
      <c r="Q30" s="268"/>
      <c r="R30" s="243"/>
    </row>
    <row r="31" spans="1:18" s="244" customFormat="1" ht="29.45">
      <c r="A31" s="3437"/>
      <c r="B31" s="3440"/>
      <c r="C31" s="273" t="s">
        <v>62</v>
      </c>
      <c r="D31" s="245">
        <v>2023</v>
      </c>
      <c r="E31" s="246" t="s">
        <v>22</v>
      </c>
      <c r="F31" s="247" t="s">
        <v>23</v>
      </c>
      <c r="G31" s="247" t="s">
        <v>23</v>
      </c>
      <c r="H31" s="248" t="s">
        <v>24</v>
      </c>
      <c r="I31" s="248" t="s">
        <v>24</v>
      </c>
      <c r="J31" s="248" t="s">
        <v>24</v>
      </c>
      <c r="K31" s="248" t="s">
        <v>24</v>
      </c>
      <c r="L31" s="248" t="s">
        <v>24</v>
      </c>
      <c r="M31" s="248" t="s">
        <v>27</v>
      </c>
      <c r="N31" s="812"/>
      <c r="O31" s="812"/>
      <c r="P31" s="248" t="s">
        <v>24</v>
      </c>
      <c r="Q31" s="249"/>
      <c r="R31" s="243"/>
    </row>
    <row r="32" spans="1:18" s="244" customFormat="1" ht="59.45">
      <c r="A32" s="3437"/>
      <c r="B32" s="3440"/>
      <c r="C32" s="273" t="s">
        <v>63</v>
      </c>
      <c r="D32" s="245">
        <v>2024</v>
      </c>
      <c r="E32" s="246" t="s">
        <v>22</v>
      </c>
      <c r="F32" s="247" t="s">
        <v>23</v>
      </c>
      <c r="G32" s="247" t="s">
        <v>23</v>
      </c>
      <c r="H32" s="245" t="s">
        <v>24</v>
      </c>
      <c r="I32" s="245" t="s">
        <v>24</v>
      </c>
      <c r="J32" s="245" t="s">
        <v>24</v>
      </c>
      <c r="K32" s="245" t="s">
        <v>24</v>
      </c>
      <c r="L32" s="245" t="s">
        <v>24</v>
      </c>
      <c r="M32" s="248" t="s">
        <v>27</v>
      </c>
      <c r="N32" s="812"/>
      <c r="O32" s="812"/>
      <c r="P32" s="248" t="s">
        <v>24</v>
      </c>
      <c r="Q32" s="249"/>
      <c r="R32" s="243"/>
    </row>
    <row r="33" spans="1:18" s="244" customFormat="1" ht="39.6">
      <c r="A33" s="3437"/>
      <c r="B33" s="3440"/>
      <c r="C33" s="273" t="s">
        <v>64</v>
      </c>
      <c r="D33" s="245">
        <v>2025</v>
      </c>
      <c r="E33" s="246" t="s">
        <v>22</v>
      </c>
      <c r="F33" s="247" t="s">
        <v>23</v>
      </c>
      <c r="G33" s="247" t="s">
        <v>23</v>
      </c>
      <c r="H33" s="245" t="s">
        <v>24</v>
      </c>
      <c r="I33" s="245" t="s">
        <v>24</v>
      </c>
      <c r="J33" s="245" t="s">
        <v>24</v>
      </c>
      <c r="K33" s="245" t="s">
        <v>24</v>
      </c>
      <c r="L33" s="245" t="s">
        <v>24</v>
      </c>
      <c r="M33" s="248" t="s">
        <v>27</v>
      </c>
      <c r="N33" s="812"/>
      <c r="O33" s="812"/>
      <c r="P33" s="248" t="s">
        <v>24</v>
      </c>
      <c r="Q33" s="249"/>
      <c r="R33" s="243"/>
    </row>
    <row r="34" spans="1:18" s="244" customFormat="1" ht="39.6">
      <c r="A34" s="3437"/>
      <c r="B34" s="3440"/>
      <c r="C34" s="273" t="s">
        <v>65</v>
      </c>
      <c r="D34" s="245">
        <v>2025</v>
      </c>
      <c r="E34" s="246" t="s">
        <v>22</v>
      </c>
      <c r="F34" s="247" t="s">
        <v>23</v>
      </c>
      <c r="G34" s="247" t="s">
        <v>23</v>
      </c>
      <c r="H34" s="245" t="s">
        <v>24</v>
      </c>
      <c r="I34" s="245" t="s">
        <v>24</v>
      </c>
      <c r="J34" s="245" t="s">
        <v>24</v>
      </c>
      <c r="K34" s="245" t="s">
        <v>24</v>
      </c>
      <c r="L34" s="245" t="s">
        <v>24</v>
      </c>
      <c r="M34" s="248" t="s">
        <v>27</v>
      </c>
      <c r="N34" s="812"/>
      <c r="O34" s="812"/>
      <c r="P34" s="248" t="s">
        <v>24</v>
      </c>
      <c r="Q34" s="249"/>
      <c r="R34" s="243"/>
    </row>
    <row r="35" spans="1:18" s="244" customFormat="1" ht="59.45">
      <c r="A35" s="3437"/>
      <c r="B35" s="3440"/>
      <c r="C35" s="273" t="s">
        <v>66</v>
      </c>
      <c r="D35" s="245">
        <v>2025</v>
      </c>
      <c r="E35" s="246" t="s">
        <v>22</v>
      </c>
      <c r="F35" s="247" t="s">
        <v>23</v>
      </c>
      <c r="G35" s="247" t="s">
        <v>23</v>
      </c>
      <c r="H35" s="245" t="s">
        <v>24</v>
      </c>
      <c r="I35" s="245" t="s">
        <v>24</v>
      </c>
      <c r="J35" s="245" t="s">
        <v>24</v>
      </c>
      <c r="K35" s="245" t="s">
        <v>24</v>
      </c>
      <c r="L35" s="245" t="s">
        <v>24</v>
      </c>
      <c r="M35" s="248" t="s">
        <v>27</v>
      </c>
      <c r="N35" s="812"/>
      <c r="O35" s="812"/>
      <c r="P35" s="248" t="s">
        <v>24</v>
      </c>
      <c r="Q35" s="249"/>
      <c r="R35" s="243"/>
    </row>
    <row r="36" spans="1:18" s="244" customFormat="1" ht="29.45">
      <c r="A36" s="3437"/>
      <c r="B36" s="3440"/>
      <c r="C36" s="3445" t="s">
        <v>67</v>
      </c>
      <c r="D36" s="245">
        <v>2030</v>
      </c>
      <c r="E36" s="246" t="s">
        <v>22</v>
      </c>
      <c r="F36" s="247" t="s">
        <v>23</v>
      </c>
      <c r="G36" s="247" t="s">
        <v>23</v>
      </c>
      <c r="H36" s="245" t="s">
        <v>24</v>
      </c>
      <c r="I36" s="245" t="s">
        <v>24</v>
      </c>
      <c r="J36" s="245" t="s">
        <v>24</v>
      </c>
      <c r="K36" s="245" t="s">
        <v>24</v>
      </c>
      <c r="L36" s="245" t="s">
        <v>24</v>
      </c>
      <c r="M36" s="248" t="s">
        <v>27</v>
      </c>
      <c r="N36" s="812"/>
      <c r="O36" s="812"/>
      <c r="P36" s="248" t="s">
        <v>24</v>
      </c>
      <c r="Q36" s="249"/>
      <c r="R36" s="243"/>
    </row>
    <row r="37" spans="1:18" s="244" customFormat="1" ht="29.45">
      <c r="A37" s="3437"/>
      <c r="B37" s="3440"/>
      <c r="C37" s="3446"/>
      <c r="D37" s="245"/>
      <c r="E37" s="286" t="s">
        <v>68</v>
      </c>
      <c r="F37" s="247" t="s">
        <v>29</v>
      </c>
      <c r="G37" s="247" t="s">
        <v>23</v>
      </c>
      <c r="H37" s="245" t="s">
        <v>24</v>
      </c>
      <c r="I37" s="245" t="s">
        <v>24</v>
      </c>
      <c r="J37" s="245" t="s">
        <v>24</v>
      </c>
      <c r="K37" s="245">
        <f>[1]Energy!$AA$26</f>
        <v>273817.28881694609</v>
      </c>
      <c r="L37" s="293">
        <f>[1]Energy!$Z$26</f>
        <v>252788.35826321848</v>
      </c>
      <c r="M37" s="294">
        <f>[1]Energy!$Y$26</f>
        <v>149495.78008259268</v>
      </c>
      <c r="N37" s="859"/>
      <c r="O37" s="859"/>
      <c r="P37" s="295">
        <f>(M37-L37)/L37</f>
        <v>-0.40861287636146337</v>
      </c>
      <c r="Q37" s="268"/>
      <c r="R37" s="243"/>
    </row>
    <row r="38" spans="1:18" ht="59.45">
      <c r="A38" s="3448" t="s">
        <v>69</v>
      </c>
      <c r="B38" s="3450" t="s">
        <v>20</v>
      </c>
      <c r="C38" s="296" t="s">
        <v>70</v>
      </c>
      <c r="D38" s="297">
        <v>2020</v>
      </c>
      <c r="E38" s="298" t="s">
        <v>22</v>
      </c>
      <c r="F38" s="299" t="s">
        <v>23</v>
      </c>
      <c r="G38" s="299" t="s">
        <v>23</v>
      </c>
      <c r="H38" s="300" t="s">
        <v>24</v>
      </c>
      <c r="I38" s="300" t="s">
        <v>24</v>
      </c>
      <c r="J38" s="300" t="s">
        <v>24</v>
      </c>
      <c r="K38" s="300" t="s">
        <v>24</v>
      </c>
      <c r="L38" s="301" t="s">
        <v>24</v>
      </c>
      <c r="M38" s="302" t="s">
        <v>45</v>
      </c>
      <c r="N38" s="824"/>
      <c r="O38" s="824"/>
      <c r="P38" s="303" t="s">
        <v>24</v>
      </c>
      <c r="Q38" s="304"/>
    </row>
    <row r="39" spans="1:18" ht="29.45">
      <c r="A39" s="3449"/>
      <c r="B39" s="3451"/>
      <c r="C39" s="3452" t="s">
        <v>72</v>
      </c>
      <c r="D39" s="230"/>
      <c r="E39" s="305" t="s">
        <v>73</v>
      </c>
      <c r="F39" s="306" t="s">
        <v>23</v>
      </c>
      <c r="G39" s="307" t="s">
        <v>29</v>
      </c>
      <c r="H39" s="308">
        <f>'[1]H&amp;S and Sickness'!E26</f>
        <v>3</v>
      </c>
      <c r="I39" s="308" t="str">
        <f>'[1]H&amp;S and Sickness'!F26</f>
        <v> 1</v>
      </c>
      <c r="J39" s="308">
        <f>'[1]H&amp;S and Sickness'!G26</f>
        <v>1</v>
      </c>
      <c r="K39" s="308">
        <f>'[1]H&amp;S and Sickness'!H26</f>
        <v>2</v>
      </c>
      <c r="L39" s="309">
        <f>'[1]H&amp;S and Sickness'!K26</f>
        <v>2</v>
      </c>
      <c r="M39" s="310">
        <f>'[1]H&amp;S and Sickness'!N26</f>
        <v>0</v>
      </c>
      <c r="N39" s="376">
        <v>2</v>
      </c>
      <c r="O39" s="376">
        <v>2</v>
      </c>
      <c r="P39" s="254">
        <f t="shared" ref="P39:P41" si="3">(O39-N39)/N39</f>
        <v>0</v>
      </c>
      <c r="Q39" s="278"/>
    </row>
    <row r="40" spans="1:18" ht="29.45">
      <c r="A40" s="3449"/>
      <c r="B40" s="3451"/>
      <c r="C40" s="3452"/>
      <c r="D40" s="230"/>
      <c r="E40" s="305" t="s">
        <v>74</v>
      </c>
      <c r="F40" s="306" t="s">
        <v>23</v>
      </c>
      <c r="G40" s="307" t="s">
        <v>29</v>
      </c>
      <c r="H40" s="308">
        <f>'[1]H&amp;S and Sickness'!E27</f>
        <v>3</v>
      </c>
      <c r="I40" s="308" t="str">
        <f>'[1]H&amp;S and Sickness'!F27</f>
        <v> 2</v>
      </c>
      <c r="J40" s="308">
        <f>'[1]H&amp;S and Sickness'!G27</f>
        <v>1</v>
      </c>
      <c r="K40" s="308">
        <f>'[1]H&amp;S and Sickness'!H27</f>
        <v>3</v>
      </c>
      <c r="L40" s="309">
        <f>'[1]H&amp;S and Sickness'!K27</f>
        <v>4</v>
      </c>
      <c r="M40" s="310">
        <f>'[1]H&amp;S and Sickness'!N36</f>
        <v>4</v>
      </c>
      <c r="N40" s="376">
        <v>4</v>
      </c>
      <c r="O40" s="376">
        <v>1</v>
      </c>
      <c r="P40" s="254">
        <f t="shared" si="3"/>
        <v>-0.75</v>
      </c>
      <c r="Q40" s="312"/>
    </row>
    <row r="41" spans="1:18" ht="29.45">
      <c r="A41" s="3449"/>
      <c r="B41" s="3451"/>
      <c r="C41" s="3452"/>
      <c r="D41" s="230"/>
      <c r="E41" s="313" t="s">
        <v>75</v>
      </c>
      <c r="F41" s="306" t="s">
        <v>23</v>
      </c>
      <c r="G41" s="307" t="s">
        <v>29</v>
      </c>
      <c r="H41" s="458"/>
      <c r="I41" s="458"/>
      <c r="J41" s="458"/>
      <c r="K41" s="458"/>
      <c r="L41" s="459"/>
      <c r="M41" s="459"/>
      <c r="N41" s="825"/>
      <c r="O41" s="825"/>
      <c r="P41" s="254" t="e">
        <f t="shared" si="3"/>
        <v>#DIV/0!</v>
      </c>
      <c r="Q41" s="316"/>
    </row>
    <row r="42" spans="1:18" ht="39.6">
      <c r="A42" s="3449"/>
      <c r="B42" s="3451"/>
      <c r="C42" s="3452"/>
      <c r="D42" s="317">
        <v>2020</v>
      </c>
      <c r="E42" s="318" t="s">
        <v>77</v>
      </c>
      <c r="F42" s="306" t="s">
        <v>23</v>
      </c>
      <c r="G42" s="306" t="s">
        <v>23</v>
      </c>
      <c r="H42" s="308" t="s">
        <v>24</v>
      </c>
      <c r="I42" s="308" t="s">
        <v>24</v>
      </c>
      <c r="J42" s="308" t="s">
        <v>24</v>
      </c>
      <c r="K42" s="308">
        <v>100</v>
      </c>
      <c r="L42" s="309">
        <v>100</v>
      </c>
      <c r="M42" s="310" t="s">
        <v>25</v>
      </c>
      <c r="N42" s="376"/>
      <c r="O42" s="376"/>
      <c r="P42" s="319">
        <v>1</v>
      </c>
      <c r="Q42" s="312"/>
    </row>
    <row r="43" spans="1:18" ht="29.45">
      <c r="A43" s="3449"/>
      <c r="B43" s="3451"/>
      <c r="C43" s="3453" t="s">
        <v>78</v>
      </c>
      <c r="D43" s="3455">
        <v>2025</v>
      </c>
      <c r="E43" s="321" t="s">
        <v>22</v>
      </c>
      <c r="F43" s="307" t="s">
        <v>23</v>
      </c>
      <c r="G43" s="307" t="s">
        <v>23</v>
      </c>
      <c r="H43" s="322" t="s">
        <v>24</v>
      </c>
      <c r="I43" s="322" t="s">
        <v>24</v>
      </c>
      <c r="J43" s="322" t="s">
        <v>24</v>
      </c>
      <c r="K43" s="322" t="s">
        <v>24</v>
      </c>
      <c r="L43" s="323" t="s">
        <v>24</v>
      </c>
      <c r="M43" s="310" t="s">
        <v>27</v>
      </c>
      <c r="N43" s="376"/>
      <c r="O43" s="376"/>
      <c r="P43" s="310" t="s">
        <v>24</v>
      </c>
      <c r="Q43" s="324"/>
    </row>
    <row r="44" spans="1:18" ht="29.45">
      <c r="A44" s="3449"/>
      <c r="B44" s="3451"/>
      <c r="C44" s="3454"/>
      <c r="D44" s="3456"/>
      <c r="E44" s="325" t="s">
        <v>79</v>
      </c>
      <c r="F44" s="307" t="s">
        <v>29</v>
      </c>
      <c r="G44" s="307" t="s">
        <v>29</v>
      </c>
      <c r="H44" s="322" t="s">
        <v>24</v>
      </c>
      <c r="I44" s="322" t="s">
        <v>24</v>
      </c>
      <c r="J44" s="322" t="s">
        <v>24</v>
      </c>
      <c r="K44" s="322" t="s">
        <v>24</v>
      </c>
      <c r="L44" s="315">
        <f>'[1]Employee Dev &amp; Engage'!J21</f>
        <v>0.4375</v>
      </c>
      <c r="M44" s="315">
        <v>5.6000000000000001E-2</v>
      </c>
      <c r="N44" s="500">
        <v>1.4E-2</v>
      </c>
      <c r="O44" s="500">
        <v>0.27300000000000002</v>
      </c>
      <c r="P44" s="254">
        <f t="shared" ref="P44" si="4">(O44-N44)/N44</f>
        <v>18.5</v>
      </c>
      <c r="Q44" s="326"/>
    </row>
    <row r="45" spans="1:18" ht="29.45">
      <c r="A45" s="3449"/>
      <c r="B45" s="3451"/>
      <c r="C45" s="3453" t="s">
        <v>80</v>
      </c>
      <c r="D45" s="3455">
        <v>2020</v>
      </c>
      <c r="E45" s="327" t="s">
        <v>22</v>
      </c>
      <c r="F45" s="306" t="s">
        <v>23</v>
      </c>
      <c r="G45" s="306" t="s">
        <v>23</v>
      </c>
      <c r="H45" s="322" t="s">
        <v>24</v>
      </c>
      <c r="I45" s="322" t="s">
        <v>24</v>
      </c>
      <c r="J45" s="322" t="s">
        <v>24</v>
      </c>
      <c r="K45" s="322" t="s">
        <v>24</v>
      </c>
      <c r="L45" s="309" t="s">
        <v>24</v>
      </c>
      <c r="M45" s="310" t="s">
        <v>25</v>
      </c>
      <c r="N45" s="376"/>
      <c r="O45" s="376"/>
      <c r="P45" s="319">
        <v>1</v>
      </c>
      <c r="Q45" s="328"/>
    </row>
    <row r="46" spans="1:18" ht="79.150000000000006">
      <c r="A46" s="3449"/>
      <c r="B46" s="3451"/>
      <c r="C46" s="3457"/>
      <c r="D46" s="3459"/>
      <c r="E46" s="329" t="s">
        <v>81</v>
      </c>
      <c r="F46" s="307" t="s">
        <v>29</v>
      </c>
      <c r="G46" s="307" t="s">
        <v>29</v>
      </c>
      <c r="H46" s="330" t="s">
        <v>24</v>
      </c>
      <c r="I46" s="330" t="s">
        <v>24</v>
      </c>
      <c r="J46" s="330" t="s">
        <v>24</v>
      </c>
      <c r="K46" s="330">
        <f>'[1]Customer Health and Safety, All'!I25</f>
        <v>1</v>
      </c>
      <c r="L46" s="330">
        <f>'[1]Customer Health and Safety, All'!M25</f>
        <v>1</v>
      </c>
      <c r="M46" s="330">
        <f>'[1]Customer Health and Safety, All'!P25</f>
        <v>1</v>
      </c>
      <c r="N46" s="375">
        <v>1</v>
      </c>
      <c r="O46" s="375">
        <v>1</v>
      </c>
      <c r="P46" s="254">
        <f t="shared" ref="P46:P50" si="5">(O46-N46)/N46</f>
        <v>0</v>
      </c>
      <c r="Q46" s="328"/>
    </row>
    <row r="47" spans="1:18" ht="79.150000000000006">
      <c r="A47" s="3449"/>
      <c r="B47" s="3451"/>
      <c r="C47" s="3457"/>
      <c r="D47" s="3459"/>
      <c r="E47" s="329" t="s">
        <v>82</v>
      </c>
      <c r="F47" s="307" t="s">
        <v>29</v>
      </c>
      <c r="G47" s="307" t="s">
        <v>29</v>
      </c>
      <c r="H47" s="330" t="s">
        <v>24</v>
      </c>
      <c r="I47" s="330" t="s">
        <v>24</v>
      </c>
      <c r="J47" s="330" t="s">
        <v>24</v>
      </c>
      <c r="K47" s="330">
        <f>'[1]Customer Health and Safety, All'!I28</f>
        <v>1</v>
      </c>
      <c r="L47" s="330">
        <f>'[1]Customer Health and Safety, All'!M28</f>
        <v>1</v>
      </c>
      <c r="M47" s="330">
        <f>'[1]Customer Health and Safety, All'!P28</f>
        <v>1</v>
      </c>
      <c r="N47" s="375">
        <v>1</v>
      </c>
      <c r="O47" s="375">
        <v>1</v>
      </c>
      <c r="P47" s="254">
        <f t="shared" si="5"/>
        <v>0</v>
      </c>
      <c r="Q47" s="328"/>
    </row>
    <row r="48" spans="1:18" ht="59.45">
      <c r="A48" s="3449"/>
      <c r="B48" s="3451"/>
      <c r="C48" s="3457"/>
      <c r="D48" s="3459"/>
      <c r="E48" s="329" t="s">
        <v>83</v>
      </c>
      <c r="F48" s="307" t="s">
        <v>29</v>
      </c>
      <c r="G48" s="307" t="s">
        <v>29</v>
      </c>
      <c r="H48" s="330" t="s">
        <v>24</v>
      </c>
      <c r="I48" s="330" t="s">
        <v>24</v>
      </c>
      <c r="J48" s="330" t="s">
        <v>24</v>
      </c>
      <c r="K48" s="330">
        <f>'[1]Customer Health and Safety, All'!I31</f>
        <v>0.99539999999999995</v>
      </c>
      <c r="L48" s="330">
        <f>'[1]Customer Health and Safety, All'!M31</f>
        <v>0.98760000000000003</v>
      </c>
      <c r="M48" s="330">
        <f>'[1]Customer Health and Safety, All'!P31</f>
        <v>1</v>
      </c>
      <c r="N48" s="375">
        <v>0.996</v>
      </c>
      <c r="O48" s="375">
        <v>0.998</v>
      </c>
      <c r="P48" s="254">
        <f t="shared" si="5"/>
        <v>2.0080321285140582E-3</v>
      </c>
      <c r="Q48" s="331"/>
    </row>
    <row r="49" spans="1:17" ht="59.45">
      <c r="A49" s="3449"/>
      <c r="B49" s="3451"/>
      <c r="C49" s="3457"/>
      <c r="D49" s="3459"/>
      <c r="E49" s="329" t="s">
        <v>84</v>
      </c>
      <c r="F49" s="307" t="s">
        <v>29</v>
      </c>
      <c r="G49" s="307" t="s">
        <v>29</v>
      </c>
      <c r="H49" s="330" t="s">
        <v>24</v>
      </c>
      <c r="I49" s="330" t="s">
        <v>24</v>
      </c>
      <c r="J49" s="330" t="s">
        <v>24</v>
      </c>
      <c r="K49" s="330">
        <f>'[1]Customer Health and Safety, All'!I34</f>
        <v>0.99590000000000001</v>
      </c>
      <c r="L49" s="330">
        <f>'[1]Customer Health and Safety, All'!M34</f>
        <v>0.99970000000000003</v>
      </c>
      <c r="M49" s="330">
        <f>'[1]Customer Health and Safety, All'!P34</f>
        <v>0.99999999999999989</v>
      </c>
      <c r="N49" s="375">
        <v>1</v>
      </c>
      <c r="O49" s="375">
        <v>1</v>
      </c>
      <c r="P49" s="254">
        <f t="shared" si="5"/>
        <v>0</v>
      </c>
      <c r="Q49" s="331"/>
    </row>
    <row r="50" spans="1:17" ht="39.6">
      <c r="A50" s="3449"/>
      <c r="B50" s="3451"/>
      <c r="C50" s="3458"/>
      <c r="D50" s="3459"/>
      <c r="E50" s="332" t="s">
        <v>85</v>
      </c>
      <c r="F50" s="307" t="s">
        <v>29</v>
      </c>
      <c r="G50" s="307" t="s">
        <v>29</v>
      </c>
      <c r="H50" s="330" t="s">
        <v>24</v>
      </c>
      <c r="I50" s="330" t="s">
        <v>24</v>
      </c>
      <c r="J50" s="330" t="s">
        <v>24</v>
      </c>
      <c r="K50" s="460">
        <f>'[1]Customer Health and Safety, All'!I67</f>
        <v>3.9667453600376379</v>
      </c>
      <c r="L50" s="460">
        <f>'[1]Customer Health and Safety, All'!M37</f>
        <v>3.29</v>
      </c>
      <c r="M50" s="460">
        <f>'[1]Customer Health and Safety, All'!P37</f>
        <v>2.36</v>
      </c>
      <c r="N50" s="498">
        <v>3</v>
      </c>
      <c r="O50" s="498">
        <v>3.8</v>
      </c>
      <c r="P50" s="254">
        <f t="shared" si="5"/>
        <v>0.26666666666666661</v>
      </c>
      <c r="Q50" s="334" t="s">
        <v>86</v>
      </c>
    </row>
    <row r="51" spans="1:17" ht="39.6">
      <c r="A51" s="3449"/>
      <c r="B51" s="3451"/>
      <c r="C51" s="335" t="s">
        <v>87</v>
      </c>
      <c r="D51" s="317">
        <v>2020</v>
      </c>
      <c r="E51" s="327" t="s">
        <v>22</v>
      </c>
      <c r="F51" s="306" t="s">
        <v>23</v>
      </c>
      <c r="G51" s="306" t="s">
        <v>23</v>
      </c>
      <c r="H51" s="308" t="s">
        <v>24</v>
      </c>
      <c r="I51" s="308" t="s">
        <v>24</v>
      </c>
      <c r="J51" s="308" t="s">
        <v>24</v>
      </c>
      <c r="K51" s="308" t="s">
        <v>24</v>
      </c>
      <c r="L51" s="309" t="s">
        <v>24</v>
      </c>
      <c r="M51" s="310" t="s">
        <v>45</v>
      </c>
      <c r="N51" s="376"/>
      <c r="O51" s="376"/>
      <c r="P51" s="336" t="s">
        <v>24</v>
      </c>
      <c r="Q51" s="324"/>
    </row>
    <row r="52" spans="1:17" ht="59.45">
      <c r="A52" s="3449"/>
      <c r="B52" s="3451"/>
      <c r="C52" s="335" t="s">
        <v>88</v>
      </c>
      <c r="D52" s="337">
        <v>2025</v>
      </c>
      <c r="E52" s="338" t="s">
        <v>22</v>
      </c>
      <c r="F52" s="339" t="s">
        <v>23</v>
      </c>
      <c r="G52" s="339" t="s">
        <v>23</v>
      </c>
      <c r="H52" s="340" t="s">
        <v>24</v>
      </c>
      <c r="I52" s="340" t="s">
        <v>24</v>
      </c>
      <c r="J52" s="340" t="s">
        <v>24</v>
      </c>
      <c r="K52" s="340" t="s">
        <v>24</v>
      </c>
      <c r="L52" s="340" t="s">
        <v>24</v>
      </c>
      <c r="M52" s="310" t="s">
        <v>27</v>
      </c>
      <c r="N52" s="376"/>
      <c r="O52" s="376"/>
      <c r="P52" s="310" t="s">
        <v>24</v>
      </c>
      <c r="Q52" s="324"/>
    </row>
    <row r="53" spans="1:17" ht="39.6">
      <c r="A53" s="3449"/>
      <c r="B53" s="3451"/>
      <c r="C53" s="335" t="s">
        <v>89</v>
      </c>
      <c r="D53" s="337">
        <v>2020</v>
      </c>
      <c r="E53" s="338" t="s">
        <v>22</v>
      </c>
      <c r="F53" s="339" t="s">
        <v>23</v>
      </c>
      <c r="G53" s="339" t="s">
        <v>23</v>
      </c>
      <c r="H53" s="340" t="s">
        <v>24</v>
      </c>
      <c r="I53" s="340" t="s">
        <v>24</v>
      </c>
      <c r="J53" s="340" t="s">
        <v>24</v>
      </c>
      <c r="K53" s="340" t="s">
        <v>24</v>
      </c>
      <c r="L53" s="341" t="s">
        <v>24</v>
      </c>
      <c r="M53" s="310" t="s">
        <v>25</v>
      </c>
      <c r="N53" s="376"/>
      <c r="O53" s="376"/>
      <c r="P53" s="336">
        <v>1</v>
      </c>
      <c r="Q53" s="328"/>
    </row>
    <row r="54" spans="1:17" ht="59.45">
      <c r="A54" s="3449"/>
      <c r="B54" s="3451"/>
      <c r="C54" s="342" t="s">
        <v>90</v>
      </c>
      <c r="D54" s="337">
        <v>2025</v>
      </c>
      <c r="E54" s="343" t="s">
        <v>91</v>
      </c>
      <c r="F54" s="339" t="s">
        <v>29</v>
      </c>
      <c r="G54" s="339" t="s">
        <v>29</v>
      </c>
      <c r="H54" s="344">
        <f>'[1]Work Placement, Apprentices and'!F10</f>
        <v>5936</v>
      </c>
      <c r="I54" s="344">
        <f>'[1]Work Placement, Apprentices and'!G10</f>
        <v>5370</v>
      </c>
      <c r="J54" s="344">
        <f>'[1]Work Placement, Apprentices and'!H10</f>
        <v>4158</v>
      </c>
      <c r="K54" s="344">
        <f>'[1]Work Placement, Apprentices and'!I10</f>
        <v>3780</v>
      </c>
      <c r="L54" s="344">
        <f>'[1]Work Placement, Apprentices and'!J10</f>
        <v>5869</v>
      </c>
      <c r="M54" s="345">
        <f>'[1]Work Placement, Apprentices and'!K10</f>
        <v>46</v>
      </c>
      <c r="N54" s="826">
        <v>2679</v>
      </c>
      <c r="O54" s="826">
        <v>3750</v>
      </c>
      <c r="P54" s="254">
        <f t="shared" ref="P54" si="6">(O54-N54)/N54</f>
        <v>0.39977603583426652</v>
      </c>
      <c r="Q54" s="346"/>
    </row>
    <row r="55" spans="1:17" ht="29.45">
      <c r="A55" s="3449"/>
      <c r="B55" s="3451"/>
      <c r="C55" s="3453" t="s">
        <v>92</v>
      </c>
      <c r="D55" s="3455">
        <v>2025</v>
      </c>
      <c r="E55" s="327" t="s">
        <v>22</v>
      </c>
      <c r="F55" s="307" t="s">
        <v>23</v>
      </c>
      <c r="G55" s="307" t="s">
        <v>23</v>
      </c>
      <c r="H55" s="322" t="s">
        <v>24</v>
      </c>
      <c r="I55" s="322" t="s">
        <v>24</v>
      </c>
      <c r="J55" s="322" t="s">
        <v>24</v>
      </c>
      <c r="K55" s="322" t="s">
        <v>24</v>
      </c>
      <c r="L55" s="322" t="s">
        <v>24</v>
      </c>
      <c r="M55" s="310" t="s">
        <v>27</v>
      </c>
      <c r="N55" s="376"/>
      <c r="O55" s="376"/>
      <c r="P55" s="311" t="s">
        <v>24</v>
      </c>
      <c r="Q55" s="347"/>
    </row>
    <row r="56" spans="1:17" ht="39.6">
      <c r="A56" s="3449"/>
      <c r="B56" s="3451"/>
      <c r="C56" s="3460"/>
      <c r="D56" s="3456"/>
      <c r="E56" s="343" t="s">
        <v>93</v>
      </c>
      <c r="F56" s="307" t="s">
        <v>29</v>
      </c>
      <c r="G56" s="339" t="s">
        <v>29</v>
      </c>
      <c r="H56" s="348" t="str">
        <f>'[1]Airport Academies&amp;aerozones T&amp;D'!D45</f>
        <v>n/a</v>
      </c>
      <c r="I56" s="348" t="str">
        <f>'[1]Airport Academies&amp;aerozones T&amp;D'!E45</f>
        <v>n/a</v>
      </c>
      <c r="J56" s="348" t="str">
        <f>'[1]Airport Academies&amp;aerozones T&amp;D'!F45</f>
        <v>n/a</v>
      </c>
      <c r="K56" s="348" t="str">
        <f>'[1]Airport Academies&amp;aerozones T&amp;D'!G45</f>
        <v>n/a</v>
      </c>
      <c r="L56" s="348" t="str">
        <f>'[1]Airport Academies&amp;aerozones T&amp;D'!J45</f>
        <v>n/a</v>
      </c>
      <c r="M56" s="349">
        <f>'[1]Airport Academies&amp;aerozones T&amp;D'!M45</f>
        <v>0.78260869565217384</v>
      </c>
      <c r="N56" s="827">
        <v>0.91200000000000003</v>
      </c>
      <c r="O56" s="827">
        <v>0.59</v>
      </c>
      <c r="P56" s="254">
        <f t="shared" ref="P56" si="7">(O56-N56)/N56</f>
        <v>-0.35307017543859653</v>
      </c>
      <c r="Q56" s="350"/>
    </row>
    <row r="57" spans="1:17" ht="59.45">
      <c r="A57" s="3449"/>
      <c r="B57" s="3451"/>
      <c r="C57" s="320" t="s">
        <v>94</v>
      </c>
      <c r="D57" s="317">
        <v>2025</v>
      </c>
      <c r="E57" s="327" t="s">
        <v>22</v>
      </c>
      <c r="F57" s="307" t="s">
        <v>23</v>
      </c>
      <c r="G57" s="307" t="s">
        <v>23</v>
      </c>
      <c r="H57" s="322" t="s">
        <v>24</v>
      </c>
      <c r="I57" s="322" t="s">
        <v>24</v>
      </c>
      <c r="J57" s="322" t="s">
        <v>24</v>
      </c>
      <c r="K57" s="322" t="s">
        <v>24</v>
      </c>
      <c r="L57" s="322" t="s">
        <v>24</v>
      </c>
      <c r="M57" s="310" t="s">
        <v>27</v>
      </c>
      <c r="N57" s="376"/>
      <c r="O57" s="376"/>
      <c r="P57" s="311" t="s">
        <v>24</v>
      </c>
      <c r="Q57" s="324"/>
    </row>
    <row r="58" spans="1:17" ht="29.45">
      <c r="A58" s="3449"/>
      <c r="B58" s="3451"/>
      <c r="C58" s="3461" t="s">
        <v>95</v>
      </c>
      <c r="D58" s="3463">
        <v>2025</v>
      </c>
      <c r="E58" s="318" t="s">
        <v>96</v>
      </c>
      <c r="F58" s="307" t="s">
        <v>29</v>
      </c>
      <c r="G58" s="307" t="s">
        <v>29</v>
      </c>
      <c r="H58" s="322">
        <f>'[1]Airport Academies&amp;aerozones T&amp;D'!D9</f>
        <v>144</v>
      </c>
      <c r="I58" s="322">
        <f>'[1]Airport Academies&amp;aerozones T&amp;D'!E9</f>
        <v>222</v>
      </c>
      <c r="J58" s="322">
        <f>'[1]Airport Academies&amp;aerozones T&amp;D'!F9</f>
        <v>209</v>
      </c>
      <c r="K58" s="322">
        <f>'[1]Airport Academies&amp;aerozones T&amp;D'!G9</f>
        <v>181</v>
      </c>
      <c r="L58" s="322">
        <f>'[1]Airport Academies&amp;aerozones T&amp;D'!J9</f>
        <v>135</v>
      </c>
      <c r="M58" s="345">
        <v>193</v>
      </c>
      <c r="N58" s="826">
        <v>1077</v>
      </c>
      <c r="O58" s="826">
        <v>2261</v>
      </c>
      <c r="P58" s="254">
        <f t="shared" ref="P58:P61" si="8">(O58-N58)/N58</f>
        <v>1.0993500464252552</v>
      </c>
      <c r="Q58" s="352"/>
    </row>
    <row r="59" spans="1:17" ht="29.45">
      <c r="A59" s="3449"/>
      <c r="B59" s="3451"/>
      <c r="C59" s="3462"/>
      <c r="D59" s="3464"/>
      <c r="E59" s="305" t="s">
        <v>97</v>
      </c>
      <c r="F59" s="307" t="s">
        <v>29</v>
      </c>
      <c r="G59" s="307" t="s">
        <v>29</v>
      </c>
      <c r="H59" s="322" t="str">
        <f>'[1]Airport Academies&amp;aerozones T&amp;D'!D14</f>
        <v>NA</v>
      </c>
      <c r="I59" s="322" t="str">
        <f>'[1]Airport Academies&amp;aerozones T&amp;D'!E14</f>
        <v>NA</v>
      </c>
      <c r="J59" s="322" t="str">
        <f>'[1]Airport Academies&amp;aerozones T&amp;D'!F14</f>
        <v>NA</v>
      </c>
      <c r="K59" s="322" t="str">
        <f>'[1]Airport Academies&amp;aerozones T&amp;D'!G14</f>
        <v>NA</v>
      </c>
      <c r="L59" s="322" t="str">
        <f>'[1]Airport Academies&amp;aerozones T&amp;D'!J14</f>
        <v>NA</v>
      </c>
      <c r="M59" s="315">
        <v>6.3E-2</v>
      </c>
      <c r="N59" s="500">
        <v>0.58799999999999997</v>
      </c>
      <c r="O59" s="500">
        <v>0.20799999999999999</v>
      </c>
      <c r="P59" s="254">
        <f t="shared" si="8"/>
        <v>-0.6462585034013606</v>
      </c>
      <c r="Q59" s="355"/>
    </row>
    <row r="60" spans="1:17" ht="39.6">
      <c r="A60" s="3449"/>
      <c r="B60" s="3451"/>
      <c r="C60" s="3462"/>
      <c r="D60" s="3464"/>
      <c r="E60" s="356" t="s">
        <v>99</v>
      </c>
      <c r="F60" s="307" t="s">
        <v>23</v>
      </c>
      <c r="G60" s="307" t="s">
        <v>29</v>
      </c>
      <c r="H60" s="315">
        <f>'[1]Airport Academies&amp;aerozones T&amp;D'!D11</f>
        <v>0.66666666666666663</v>
      </c>
      <c r="I60" s="315">
        <f>'[1]Airport Academies&amp;aerozones T&amp;D'!E11</f>
        <v>0.71621621621621623</v>
      </c>
      <c r="J60" s="315">
        <f>'[1]Airport Academies&amp;aerozones T&amp;D'!F11</f>
        <v>0.62679425837320579</v>
      </c>
      <c r="K60" s="315">
        <f>'[1]Airport Academies&amp;aerozones T&amp;D'!G11</f>
        <v>0.64088397790055252</v>
      </c>
      <c r="L60" s="315">
        <f>'[1]Airport Academies&amp;aerozones T&amp;D'!J11</f>
        <v>0.51111111111111107</v>
      </c>
      <c r="M60" s="315">
        <v>3.0000000000000001E-3</v>
      </c>
      <c r="N60" s="500">
        <v>0.441</v>
      </c>
      <c r="O60" s="500">
        <v>0.20799999999999999</v>
      </c>
      <c r="P60" s="254">
        <f t="shared" si="8"/>
        <v>-0.52834467120181405</v>
      </c>
      <c r="Q60" s="355"/>
    </row>
    <row r="61" spans="1:17" ht="39.6">
      <c r="A61" s="3449"/>
      <c r="B61" s="3451"/>
      <c r="C61" s="3462"/>
      <c r="D61" s="3464"/>
      <c r="E61" s="305" t="s">
        <v>98</v>
      </c>
      <c r="F61" s="307" t="s">
        <v>23</v>
      </c>
      <c r="G61" s="307" t="s">
        <v>29</v>
      </c>
      <c r="H61" s="353">
        <f>'[1]Airport Academies&amp;aerozones T&amp;D'!D10</f>
        <v>96</v>
      </c>
      <c r="I61" s="353">
        <f>'[1]Airport Academies&amp;aerozones T&amp;D'!E10</f>
        <v>159</v>
      </c>
      <c r="J61" s="353">
        <f>'[1]Airport Academies&amp;aerozones T&amp;D'!F10</f>
        <v>131</v>
      </c>
      <c r="K61" s="353">
        <f>'[1]Airport Academies&amp;aerozones T&amp;D'!G10</f>
        <v>116</v>
      </c>
      <c r="L61" s="353">
        <f>'[1]Airport Academies&amp;aerozones T&amp;D'!J10</f>
        <v>69</v>
      </c>
      <c r="M61" s="354">
        <f>'[1]Airport Academies&amp;aerozones T&amp;D'!$M$12</f>
        <v>9</v>
      </c>
      <c r="N61" s="828">
        <v>30</v>
      </c>
      <c r="O61" s="828">
        <v>31</v>
      </c>
      <c r="P61" s="254">
        <f t="shared" si="8"/>
        <v>3.3333333333333333E-2</v>
      </c>
      <c r="Q61" s="352"/>
    </row>
    <row r="62" spans="1:17" ht="59.45">
      <c r="A62" s="3449"/>
      <c r="B62" s="3451"/>
      <c r="C62" s="3462"/>
      <c r="D62" s="3465"/>
      <c r="E62" s="335" t="s">
        <v>100</v>
      </c>
      <c r="F62" s="339" t="s">
        <v>23</v>
      </c>
      <c r="G62" s="339" t="s">
        <v>23</v>
      </c>
      <c r="H62" s="340" t="s">
        <v>24</v>
      </c>
      <c r="I62" s="340" t="s">
        <v>24</v>
      </c>
      <c r="J62" s="340" t="s">
        <v>24</v>
      </c>
      <c r="K62" s="340" t="s">
        <v>24</v>
      </c>
      <c r="L62" s="340" t="s">
        <v>24</v>
      </c>
      <c r="M62" s="310" t="s">
        <v>27</v>
      </c>
      <c r="N62" s="376"/>
      <c r="O62" s="376"/>
      <c r="P62" s="310" t="s">
        <v>24</v>
      </c>
      <c r="Q62" s="324"/>
    </row>
    <row r="63" spans="1:17" ht="59.45">
      <c r="A63" s="3449"/>
      <c r="B63" s="3451"/>
      <c r="C63" s="320" t="s">
        <v>101</v>
      </c>
      <c r="D63" s="317">
        <v>2025</v>
      </c>
      <c r="E63" s="357" t="s">
        <v>22</v>
      </c>
      <c r="F63" s="307" t="s">
        <v>23</v>
      </c>
      <c r="G63" s="307" t="s">
        <v>23</v>
      </c>
      <c r="H63" s="322" t="s">
        <v>24</v>
      </c>
      <c r="I63" s="322" t="s">
        <v>24</v>
      </c>
      <c r="J63" s="322" t="s">
        <v>24</v>
      </c>
      <c r="K63" s="322" t="s">
        <v>24</v>
      </c>
      <c r="L63" s="322" t="s">
        <v>24</v>
      </c>
      <c r="M63" s="310" t="s">
        <v>27</v>
      </c>
      <c r="N63" s="376"/>
      <c r="O63" s="376"/>
      <c r="P63" s="310" t="s">
        <v>24</v>
      </c>
      <c r="Q63" s="324"/>
    </row>
    <row r="64" spans="1:17" ht="79.900000000000006" thickBot="1">
      <c r="A64" s="3449"/>
      <c r="B64" s="3451"/>
      <c r="C64" s="358" t="s">
        <v>102</v>
      </c>
      <c r="D64" s="359">
        <v>2025</v>
      </c>
      <c r="E64" s="360" t="s">
        <v>22</v>
      </c>
      <c r="F64" s="361" t="s">
        <v>23</v>
      </c>
      <c r="G64" s="361" t="s">
        <v>23</v>
      </c>
      <c r="H64" s="362" t="s">
        <v>24</v>
      </c>
      <c r="I64" s="362" t="s">
        <v>24</v>
      </c>
      <c r="J64" s="362" t="s">
        <v>24</v>
      </c>
      <c r="K64" s="362" t="s">
        <v>24</v>
      </c>
      <c r="L64" s="362" t="s">
        <v>24</v>
      </c>
      <c r="M64" s="363" t="s">
        <v>27</v>
      </c>
      <c r="N64" s="830"/>
      <c r="O64" s="830"/>
      <c r="P64" s="363" t="s">
        <v>24</v>
      </c>
      <c r="Q64" s="364"/>
    </row>
    <row r="65" spans="1:17" ht="29.45">
      <c r="A65" s="3449"/>
      <c r="B65" s="3451"/>
      <c r="C65" s="3466" t="s">
        <v>103</v>
      </c>
      <c r="D65" s="3455">
        <v>2020</v>
      </c>
      <c r="E65" s="318" t="s">
        <v>104</v>
      </c>
      <c r="F65" s="306" t="s">
        <v>23</v>
      </c>
      <c r="G65" s="306" t="s">
        <v>23</v>
      </c>
      <c r="H65" s="322" t="s">
        <v>24</v>
      </c>
      <c r="I65" s="322" t="s">
        <v>24</v>
      </c>
      <c r="J65" s="322" t="s">
        <v>24</v>
      </c>
      <c r="K65" s="322" t="s">
        <v>24</v>
      </c>
      <c r="L65" s="310" t="s">
        <v>24</v>
      </c>
      <c r="M65" s="310" t="s">
        <v>45</v>
      </c>
      <c r="N65" s="376"/>
      <c r="O65" s="376"/>
      <c r="P65" s="336" t="s">
        <v>24</v>
      </c>
      <c r="Q65" s="324"/>
    </row>
    <row r="66" spans="1:17" ht="29.45">
      <c r="A66" s="3449"/>
      <c r="B66" s="3451"/>
      <c r="C66" s="3453"/>
      <c r="D66" s="3459"/>
      <c r="E66" s="365" t="s">
        <v>106</v>
      </c>
      <c r="F66" s="306" t="s">
        <v>23</v>
      </c>
      <c r="G66" s="307" t="s">
        <v>29</v>
      </c>
      <c r="H66" s="311">
        <f>'[1]Procurement practices'!D16</f>
        <v>0.28095238095238095</v>
      </c>
      <c r="I66" s="311">
        <f>'[1]Procurement practices'!E16</f>
        <v>2.5000000000000001E-2</v>
      </c>
      <c r="J66" s="311">
        <f>'[1]Procurement practices'!F16</f>
        <v>0.22</v>
      </c>
      <c r="K66" s="311">
        <f>'[1]Procurement practices'!I16</f>
        <v>0.22</v>
      </c>
      <c r="L66" s="463">
        <f>'[1]Procurement practices'!L16</f>
        <v>0.21</v>
      </c>
      <c r="M66" s="462">
        <f>'[1]Procurement practices'!O16</f>
        <v>0.18</v>
      </c>
      <c r="N66" s="831">
        <v>0.17</v>
      </c>
      <c r="O66" s="831">
        <v>0.15</v>
      </c>
      <c r="P66" s="254">
        <f t="shared" ref="P66:P67" si="9">(O66-N66)/N66</f>
        <v>-0.11764705882352951</v>
      </c>
      <c r="Q66" s="367"/>
    </row>
    <row r="67" spans="1:17" ht="40.15" thickBot="1">
      <c r="A67" s="3449"/>
      <c r="B67" s="3451"/>
      <c r="C67" s="3453"/>
      <c r="D67" s="3459"/>
      <c r="E67" s="365" t="s">
        <v>107</v>
      </c>
      <c r="F67" s="306" t="s">
        <v>23</v>
      </c>
      <c r="G67" s="307" t="s">
        <v>29</v>
      </c>
      <c r="H67" s="311"/>
      <c r="I67" s="311"/>
      <c r="J67" s="311"/>
      <c r="K67" s="311"/>
      <c r="L67" s="463"/>
      <c r="M67" s="464"/>
      <c r="N67" s="832"/>
      <c r="O67" s="832"/>
      <c r="P67" s="254" t="e">
        <f t="shared" si="9"/>
        <v>#DIV/0!</v>
      </c>
      <c r="Q67" s="352"/>
    </row>
    <row r="68" spans="1:17" ht="40.15" thickBot="1">
      <c r="A68" s="3449"/>
      <c r="B68" s="3451"/>
      <c r="C68" s="3457"/>
      <c r="D68" s="3459"/>
      <c r="E68" s="368" t="s">
        <v>108</v>
      </c>
      <c r="F68" s="306" t="s">
        <v>23</v>
      </c>
      <c r="G68" s="306" t="s">
        <v>23</v>
      </c>
      <c r="H68" s="351">
        <f>'[1]Economic Performance'!E9</f>
        <v>200</v>
      </c>
      <c r="I68" s="351">
        <f>'[1]Economic Performance'!F9</f>
        <v>260</v>
      </c>
      <c r="J68" s="351">
        <f>'[1]Economic Performance'!I9</f>
        <v>300</v>
      </c>
      <c r="K68" s="351">
        <f>'[1]Economic Performance'!L9</f>
        <v>300</v>
      </c>
      <c r="L68" s="351" t="str">
        <f>'[1]Economic Performance'!O9</f>
        <v>Not measured this year</v>
      </c>
      <c r="M68" s="369" t="str">
        <f>'[1]Economic Performance'!R9</f>
        <v>Not measured this year</v>
      </c>
      <c r="N68" s="369"/>
      <c r="O68" s="369"/>
      <c r="P68" s="370" t="e">
        <f>M68-L68</f>
        <v>#VALUE!</v>
      </c>
      <c r="Q68" s="371"/>
    </row>
    <row r="69" spans="1:17" ht="40.15" thickBot="1">
      <c r="A69" s="3449"/>
      <c r="B69" s="3451"/>
      <c r="C69" s="335" t="s">
        <v>110</v>
      </c>
      <c r="D69" s="317">
        <v>2021</v>
      </c>
      <c r="E69" s="327" t="s">
        <v>22</v>
      </c>
      <c r="F69" s="307" t="s">
        <v>23</v>
      </c>
      <c r="G69" s="307" t="s">
        <v>23</v>
      </c>
      <c r="H69" s="322" t="s">
        <v>24</v>
      </c>
      <c r="I69" s="322" t="s">
        <v>24</v>
      </c>
      <c r="J69" s="322" t="s">
        <v>24</v>
      </c>
      <c r="K69" s="322" t="s">
        <v>24</v>
      </c>
      <c r="L69" s="323" t="s">
        <v>24</v>
      </c>
      <c r="M69" s="310" t="s">
        <v>27</v>
      </c>
      <c r="N69" s="376"/>
      <c r="O69" s="376"/>
      <c r="P69" s="310" t="s">
        <v>24</v>
      </c>
      <c r="Q69" s="324"/>
    </row>
    <row r="70" spans="1:17" ht="60" thickBot="1">
      <c r="A70" s="3449"/>
      <c r="B70" s="3451"/>
      <c r="C70" s="335" t="s">
        <v>111</v>
      </c>
      <c r="D70" s="317">
        <v>2021</v>
      </c>
      <c r="E70" s="327" t="s">
        <v>22</v>
      </c>
      <c r="F70" s="307" t="s">
        <v>23</v>
      </c>
      <c r="G70" s="307" t="s">
        <v>23</v>
      </c>
      <c r="H70" s="322" t="s">
        <v>24</v>
      </c>
      <c r="I70" s="322" t="s">
        <v>24</v>
      </c>
      <c r="J70" s="322" t="s">
        <v>24</v>
      </c>
      <c r="K70" s="322" t="s">
        <v>24</v>
      </c>
      <c r="L70" s="323" t="s">
        <v>24</v>
      </c>
      <c r="M70" s="310" t="s">
        <v>27</v>
      </c>
      <c r="N70" s="376"/>
      <c r="O70" s="376"/>
      <c r="P70" s="310" t="s">
        <v>24</v>
      </c>
      <c r="Q70" s="324"/>
    </row>
    <row r="71" spans="1:17" ht="30" thickBot="1">
      <c r="A71" s="3449"/>
      <c r="B71" s="3451"/>
      <c r="C71" s="3466" t="s">
        <v>112</v>
      </c>
      <c r="D71" s="317">
        <v>2021</v>
      </c>
      <c r="E71" s="327" t="s">
        <v>22</v>
      </c>
      <c r="F71" s="307" t="s">
        <v>23</v>
      </c>
      <c r="G71" s="307" t="s">
        <v>23</v>
      </c>
      <c r="H71" s="322" t="s">
        <v>24</v>
      </c>
      <c r="I71" s="322" t="s">
        <v>24</v>
      </c>
      <c r="J71" s="322" t="s">
        <v>24</v>
      </c>
      <c r="K71" s="322" t="s">
        <v>24</v>
      </c>
      <c r="L71" s="323" t="s">
        <v>24</v>
      </c>
      <c r="M71" s="310" t="s">
        <v>27</v>
      </c>
      <c r="N71" s="376"/>
      <c r="O71" s="376"/>
      <c r="P71" s="310" t="s">
        <v>24</v>
      </c>
      <c r="Q71" s="324"/>
    </row>
    <row r="72" spans="1:17" ht="30" thickBot="1">
      <c r="A72" s="3449"/>
      <c r="B72" s="3451"/>
      <c r="C72" s="3467"/>
      <c r="D72" s="372" t="s">
        <v>24</v>
      </c>
      <c r="E72" s="343" t="s">
        <v>113</v>
      </c>
      <c r="F72" s="307" t="s">
        <v>23</v>
      </c>
      <c r="G72" s="307" t="s">
        <v>23</v>
      </c>
      <c r="H72" s="315">
        <f>'[1]Diversity and Equal Opportunity'!F41</f>
        <v>0.38446601941747571</v>
      </c>
      <c r="I72" s="315">
        <f>'[1]Diversity and Equal Opportunity'!H41</f>
        <v>0.38502673796791442</v>
      </c>
      <c r="J72" s="315">
        <f>'[1]Diversity and Equal Opportunity'!J41</f>
        <v>0.3977987421383648</v>
      </c>
      <c r="K72" s="478">
        <f>'[1]Diversity and Equal Opportunity'!L41</f>
        <v>0.41244573082489144</v>
      </c>
      <c r="L72" s="478">
        <f>'[1]Diversity and Equal Opportunity'!N41</f>
        <v>0.42279942279942279</v>
      </c>
      <c r="M72" s="479">
        <f>'[1]Diversity and Equal Opportunity'!P41</f>
        <v>0.42657342657342656</v>
      </c>
      <c r="N72" s="860"/>
      <c r="O72" s="860"/>
      <c r="P72" s="366">
        <f>(M72-L72)/L72</f>
        <v>8.9262273562614909E-3</v>
      </c>
      <c r="Q72" s="316"/>
    </row>
    <row r="73" spans="1:17" ht="30" thickBot="1">
      <c r="A73" s="3449"/>
      <c r="B73" s="3451"/>
      <c r="C73" s="3453" t="s">
        <v>114</v>
      </c>
      <c r="D73" s="317">
        <v>2021</v>
      </c>
      <c r="E73" s="327" t="s">
        <v>22</v>
      </c>
      <c r="F73" s="307" t="s">
        <v>23</v>
      </c>
      <c r="G73" s="307" t="s">
        <v>23</v>
      </c>
      <c r="H73" s="322" t="s">
        <v>24</v>
      </c>
      <c r="I73" s="322" t="s">
        <v>24</v>
      </c>
      <c r="J73" s="322" t="s">
        <v>24</v>
      </c>
      <c r="K73" s="322" t="s">
        <v>24</v>
      </c>
      <c r="L73" s="323" t="s">
        <v>24</v>
      </c>
      <c r="M73" s="310" t="s">
        <v>27</v>
      </c>
      <c r="N73" s="376"/>
      <c r="O73" s="376"/>
      <c r="P73" s="310" t="s">
        <v>24</v>
      </c>
      <c r="Q73" s="324"/>
    </row>
    <row r="74" spans="1:17" ht="99.6" thickBot="1">
      <c r="A74" s="3449"/>
      <c r="B74" s="3451"/>
      <c r="C74" s="3454"/>
      <c r="D74" s="372" t="s">
        <v>24</v>
      </c>
      <c r="E74" s="368" t="s">
        <v>115</v>
      </c>
      <c r="F74" s="307" t="s">
        <v>23</v>
      </c>
      <c r="G74" s="307" t="s">
        <v>23</v>
      </c>
      <c r="H74" s="330">
        <f>'[1]Employee Dev &amp; Engage'!D33</f>
        <v>0.42</v>
      </c>
      <c r="I74" s="330">
        <f>'[1]Employee Dev &amp; Engage'!E33</f>
        <v>0.43</v>
      </c>
      <c r="J74" s="330" t="str">
        <f>'[1]Employee Dev &amp; Engage'!F33</f>
        <v>No survey carried out this year</v>
      </c>
      <c r="K74" s="330" t="str">
        <f>'[1]Employee Dev &amp; Engage'!G33</f>
        <v>No survey carried out this year</v>
      </c>
      <c r="L74" s="330">
        <f>'[1]Employee Dev &amp; Engage'!J33</f>
        <v>0.53</v>
      </c>
      <c r="M74" s="375" t="str">
        <f>'[1]Employee Dev &amp; Engage'!M33</f>
        <v>No survey carried out this year</v>
      </c>
      <c r="N74" s="375"/>
      <c r="O74" s="375"/>
      <c r="P74" s="376"/>
      <c r="Q74" s="377"/>
    </row>
    <row r="75" spans="1:17" ht="40.15" thickBot="1">
      <c r="A75" s="3449"/>
      <c r="B75" s="3451"/>
      <c r="C75" s="335" t="s">
        <v>116</v>
      </c>
      <c r="D75" s="337">
        <v>2021</v>
      </c>
      <c r="E75" s="338" t="s">
        <v>22</v>
      </c>
      <c r="F75" s="339" t="s">
        <v>23</v>
      </c>
      <c r="G75" s="339" t="s">
        <v>23</v>
      </c>
      <c r="H75" s="340" t="s">
        <v>24</v>
      </c>
      <c r="I75" s="340" t="s">
        <v>24</v>
      </c>
      <c r="J75" s="340" t="s">
        <v>24</v>
      </c>
      <c r="K75" s="340" t="s">
        <v>24</v>
      </c>
      <c r="L75" s="340" t="s">
        <v>24</v>
      </c>
      <c r="M75" s="310" t="s">
        <v>27</v>
      </c>
      <c r="N75" s="376"/>
      <c r="O75" s="376"/>
      <c r="P75" s="310" t="s">
        <v>24</v>
      </c>
      <c r="Q75" s="324"/>
    </row>
    <row r="76" spans="1:17" ht="60" thickBot="1">
      <c r="A76" s="3449"/>
      <c r="B76" s="3451"/>
      <c r="C76" s="335" t="s">
        <v>117</v>
      </c>
      <c r="D76" s="337">
        <v>2021</v>
      </c>
      <c r="E76" s="338" t="s">
        <v>22</v>
      </c>
      <c r="F76" s="339" t="s">
        <v>23</v>
      </c>
      <c r="G76" s="339" t="s">
        <v>23</v>
      </c>
      <c r="H76" s="340" t="s">
        <v>24</v>
      </c>
      <c r="I76" s="340" t="s">
        <v>24</v>
      </c>
      <c r="J76" s="340" t="s">
        <v>24</v>
      </c>
      <c r="K76" s="340" t="s">
        <v>24</v>
      </c>
      <c r="L76" s="340" t="s">
        <v>24</v>
      </c>
      <c r="M76" s="310" t="s">
        <v>27</v>
      </c>
      <c r="N76" s="376"/>
      <c r="O76" s="376"/>
      <c r="P76" s="310" t="s">
        <v>24</v>
      </c>
      <c r="Q76" s="324"/>
    </row>
    <row r="77" spans="1:17" ht="60" thickBot="1">
      <c r="A77" s="3449"/>
      <c r="B77" s="3451"/>
      <c r="C77" s="335" t="s">
        <v>118</v>
      </c>
      <c r="D77" s="337">
        <v>2022</v>
      </c>
      <c r="E77" s="338" t="s">
        <v>22</v>
      </c>
      <c r="F77" s="339" t="s">
        <v>23</v>
      </c>
      <c r="G77" s="339" t="s">
        <v>23</v>
      </c>
      <c r="H77" s="340" t="s">
        <v>24</v>
      </c>
      <c r="I77" s="340" t="s">
        <v>24</v>
      </c>
      <c r="J77" s="340" t="s">
        <v>24</v>
      </c>
      <c r="K77" s="340" t="s">
        <v>24</v>
      </c>
      <c r="L77" s="340" t="s">
        <v>24</v>
      </c>
      <c r="M77" s="310" t="s">
        <v>27</v>
      </c>
      <c r="N77" s="376"/>
      <c r="O77" s="376"/>
      <c r="P77" s="310" t="s">
        <v>24</v>
      </c>
      <c r="Q77" s="324"/>
    </row>
    <row r="78" spans="1:17" ht="40.15" thickBot="1">
      <c r="A78" s="3449"/>
      <c r="B78" s="3451"/>
      <c r="C78" s="335" t="s">
        <v>119</v>
      </c>
      <c r="D78" s="337">
        <v>2022</v>
      </c>
      <c r="E78" s="338" t="s">
        <v>22</v>
      </c>
      <c r="F78" s="339" t="s">
        <v>23</v>
      </c>
      <c r="G78" s="339" t="s">
        <v>23</v>
      </c>
      <c r="H78" s="340" t="s">
        <v>24</v>
      </c>
      <c r="I78" s="340" t="s">
        <v>24</v>
      </c>
      <c r="J78" s="340" t="s">
        <v>24</v>
      </c>
      <c r="K78" s="340" t="s">
        <v>24</v>
      </c>
      <c r="L78" s="340" t="s">
        <v>24</v>
      </c>
      <c r="M78" s="310" t="s">
        <v>27</v>
      </c>
      <c r="N78" s="376"/>
      <c r="O78" s="376"/>
      <c r="P78" s="310" t="s">
        <v>24</v>
      </c>
      <c r="Q78" s="324"/>
    </row>
    <row r="79" spans="1:17" ht="60" thickBot="1">
      <c r="A79" s="3449"/>
      <c r="B79" s="3451"/>
      <c r="C79" s="335" t="s">
        <v>120</v>
      </c>
      <c r="D79" s="337">
        <v>2023</v>
      </c>
      <c r="E79" s="338" t="s">
        <v>22</v>
      </c>
      <c r="F79" s="339" t="s">
        <v>23</v>
      </c>
      <c r="G79" s="339" t="s">
        <v>23</v>
      </c>
      <c r="H79" s="340" t="s">
        <v>24</v>
      </c>
      <c r="I79" s="340" t="s">
        <v>24</v>
      </c>
      <c r="J79" s="340" t="s">
        <v>24</v>
      </c>
      <c r="K79" s="340" t="s">
        <v>24</v>
      </c>
      <c r="L79" s="340" t="s">
        <v>24</v>
      </c>
      <c r="M79" s="310" t="s">
        <v>27</v>
      </c>
      <c r="N79" s="376"/>
      <c r="O79" s="376"/>
      <c r="P79" s="310" t="s">
        <v>24</v>
      </c>
      <c r="Q79" s="324"/>
    </row>
    <row r="80" spans="1:17" ht="59.45">
      <c r="A80" s="3468" t="s">
        <v>121</v>
      </c>
      <c r="B80" s="3471" t="s">
        <v>20</v>
      </c>
      <c r="C80" s="378" t="s">
        <v>122</v>
      </c>
      <c r="D80" s="379">
        <v>2020</v>
      </c>
      <c r="E80" s="380" t="s">
        <v>123</v>
      </c>
      <c r="F80" s="381" t="s">
        <v>29</v>
      </c>
      <c r="G80" s="382" t="s">
        <v>29</v>
      </c>
      <c r="H80" s="379" t="s">
        <v>24</v>
      </c>
      <c r="I80" s="379" t="s">
        <v>24</v>
      </c>
      <c r="J80" s="379" t="s">
        <v>24</v>
      </c>
      <c r="K80" s="379" t="s">
        <v>24</v>
      </c>
      <c r="L80" s="379" t="s">
        <v>24</v>
      </c>
      <c r="M80" s="383">
        <f>'[1]Employee Volunteering '!$J$11</f>
        <v>0.21276595744680851</v>
      </c>
      <c r="N80" s="833">
        <v>0.34399999999999997</v>
      </c>
      <c r="O80" s="833">
        <v>0.9</v>
      </c>
      <c r="P80" s="254">
        <f t="shared" ref="P80:P84" si="10">(O80-N80)/N80</f>
        <v>1.6162790697674421</v>
      </c>
      <c r="Q80" s="352"/>
    </row>
    <row r="81" spans="1:17" ht="39.6">
      <c r="A81" s="3469"/>
      <c r="B81" s="3472"/>
      <c r="C81" s="384" t="s">
        <v>124</v>
      </c>
      <c r="D81" s="385">
        <v>2020</v>
      </c>
      <c r="E81" s="386" t="s">
        <v>125</v>
      </c>
      <c r="F81" s="382" t="s">
        <v>29</v>
      </c>
      <c r="G81" s="382" t="s">
        <v>29</v>
      </c>
      <c r="H81" s="387">
        <f>'[1]Employee Volunteering '!E9</f>
        <v>0.26800000000000002</v>
      </c>
      <c r="I81" s="388">
        <f>'[1]Employee Volunteering '!F9</f>
        <v>0.24199999999999999</v>
      </c>
      <c r="J81" s="388">
        <f>'[1]Employee Volunteering '!G9</f>
        <v>0.26</v>
      </c>
      <c r="K81" s="388">
        <f>'[1]Employee Volunteering '!H9</f>
        <v>0.28000000000000003</v>
      </c>
      <c r="L81" s="388">
        <f>'[1]Employee Volunteering '!I9</f>
        <v>0.27800000000000002</v>
      </c>
      <c r="M81" s="389">
        <f>'[1]Employee Volunteering '!J9</f>
        <v>6.6378066378066383E-2</v>
      </c>
      <c r="N81" s="834">
        <v>7.9000000000000001E-2</v>
      </c>
      <c r="O81" s="834">
        <v>0.248</v>
      </c>
      <c r="P81" s="254">
        <f t="shared" si="10"/>
        <v>2.1392405063291138</v>
      </c>
      <c r="Q81" s="352"/>
    </row>
    <row r="82" spans="1:17" ht="59.45">
      <c r="A82" s="3469"/>
      <c r="B82" s="3472"/>
      <c r="C82" s="391" t="s">
        <v>126</v>
      </c>
      <c r="D82" s="385">
        <v>2020</v>
      </c>
      <c r="E82" s="392" t="s">
        <v>127</v>
      </c>
      <c r="F82" s="382" t="s">
        <v>29</v>
      </c>
      <c r="G82" s="382" t="s">
        <v>29</v>
      </c>
      <c r="H82" s="393">
        <f>'[1]Employee Volunteering '!E7</f>
        <v>811</v>
      </c>
      <c r="I82" s="393">
        <f>'[1]Employee Volunteering '!F7</f>
        <v>876.5</v>
      </c>
      <c r="J82" s="393">
        <f>'[1]Employee Volunteering '!G7</f>
        <v>1014.5</v>
      </c>
      <c r="K82" s="393">
        <f>'[1]Employee Volunteering '!H7</f>
        <v>1003</v>
      </c>
      <c r="L82" s="393">
        <f>'[1]Employee Volunteering '!I7</f>
        <v>1391</v>
      </c>
      <c r="M82" s="394">
        <f>'[1]Employee Volunteering '!J7</f>
        <v>966</v>
      </c>
      <c r="N82" s="835">
        <v>758</v>
      </c>
      <c r="O82" s="835">
        <v>1316</v>
      </c>
      <c r="P82" s="254">
        <f t="shared" si="10"/>
        <v>0.73614775725593673</v>
      </c>
      <c r="Q82" s="395"/>
    </row>
    <row r="83" spans="1:17" ht="29.45">
      <c r="A83" s="3469"/>
      <c r="B83" s="3472"/>
      <c r="C83" s="3474" t="s">
        <v>128</v>
      </c>
      <c r="D83" s="3476">
        <v>2025</v>
      </c>
      <c r="E83" s="386" t="s">
        <v>129</v>
      </c>
      <c r="F83" s="397" t="s">
        <v>29</v>
      </c>
      <c r="G83" s="397" t="s">
        <v>29</v>
      </c>
      <c r="H83" s="398">
        <f>'[1]Community and Charity Donations'!F7</f>
        <v>73581</v>
      </c>
      <c r="I83" s="398">
        <f>'[1]Community and Charity Donations'!G7</f>
        <v>80426.83</v>
      </c>
      <c r="J83" s="398">
        <f>'[1]Community and Charity Donations'!H7</f>
        <v>59239</v>
      </c>
      <c r="K83" s="399">
        <f>'[1]Community and Charity Donations'!I7</f>
        <v>56215</v>
      </c>
      <c r="L83" s="400">
        <f>'[1]Community and Charity Donations'!J7</f>
        <v>59864</v>
      </c>
      <c r="M83" s="401">
        <f>'[1]Community and Charity Donations'!K7</f>
        <v>93366</v>
      </c>
      <c r="N83" s="861">
        <v>156625</v>
      </c>
      <c r="O83" s="861">
        <v>621489</v>
      </c>
      <c r="P83" s="254">
        <f t="shared" si="10"/>
        <v>2.9680063846767757</v>
      </c>
      <c r="Q83" s="395"/>
    </row>
    <row r="84" spans="1:17" ht="29.45">
      <c r="A84" s="3469"/>
      <c r="B84" s="3472"/>
      <c r="C84" s="3475"/>
      <c r="D84" s="3477"/>
      <c r="E84" s="392" t="s">
        <v>130</v>
      </c>
      <c r="F84" s="397" t="s">
        <v>29</v>
      </c>
      <c r="G84" s="397" t="s">
        <v>29</v>
      </c>
      <c r="H84" s="394">
        <f>'[1]Community and Charity Donations'!F8</f>
        <v>76</v>
      </c>
      <c r="I84" s="394">
        <f>'[1]Community and Charity Donations'!G8</f>
        <v>78</v>
      </c>
      <c r="J84" s="394">
        <f>'[1]Community and Charity Donations'!H8</f>
        <v>75</v>
      </c>
      <c r="K84" s="394">
        <f>'[1]Community and Charity Donations'!I8</f>
        <v>65</v>
      </c>
      <c r="L84" s="402">
        <f>'[1]Community and Charity Donations'!J8</f>
        <v>64</v>
      </c>
      <c r="M84" s="403">
        <f>'[1]Community and Charity Donations'!K8</f>
        <v>84</v>
      </c>
      <c r="N84" s="837">
        <v>76</v>
      </c>
      <c r="O84" s="837">
        <v>142</v>
      </c>
      <c r="P84" s="254">
        <f t="shared" si="10"/>
        <v>0.86842105263157898</v>
      </c>
      <c r="Q84" s="395"/>
    </row>
    <row r="85" spans="1:17" ht="59.45">
      <c r="A85" s="3469"/>
      <c r="B85" s="3472"/>
      <c r="C85" s="391" t="s">
        <v>131</v>
      </c>
      <c r="D85" s="385">
        <v>2020</v>
      </c>
      <c r="E85" s="404" t="s">
        <v>22</v>
      </c>
      <c r="F85" s="382" t="s">
        <v>23</v>
      </c>
      <c r="G85" s="382" t="s">
        <v>23</v>
      </c>
      <c r="H85" s="393" t="s">
        <v>24</v>
      </c>
      <c r="I85" s="393" t="s">
        <v>24</v>
      </c>
      <c r="J85" s="393" t="s">
        <v>24</v>
      </c>
      <c r="K85" s="393" t="s">
        <v>24</v>
      </c>
      <c r="L85" s="393" t="s">
        <v>24</v>
      </c>
      <c r="M85" s="405" t="s">
        <v>25</v>
      </c>
      <c r="N85" s="838"/>
      <c r="O85" s="838"/>
      <c r="P85" s="406">
        <v>1</v>
      </c>
      <c r="Q85" s="395"/>
    </row>
    <row r="86" spans="1:17" ht="79.150000000000006">
      <c r="A86" s="3469"/>
      <c r="B86" s="3472"/>
      <c r="C86" s="391" t="s">
        <v>133</v>
      </c>
      <c r="D86" s="385">
        <v>2020</v>
      </c>
      <c r="E86" s="404" t="s">
        <v>22</v>
      </c>
      <c r="F86" s="382" t="s">
        <v>23</v>
      </c>
      <c r="G86" s="382" t="s">
        <v>23</v>
      </c>
      <c r="H86" s="393" t="s">
        <v>24</v>
      </c>
      <c r="I86" s="393" t="s">
        <v>24</v>
      </c>
      <c r="J86" s="393" t="s">
        <v>24</v>
      </c>
      <c r="K86" s="393" t="s">
        <v>24</v>
      </c>
      <c r="L86" s="393" t="s">
        <v>24</v>
      </c>
      <c r="M86" s="405" t="s">
        <v>25</v>
      </c>
      <c r="N86" s="838"/>
      <c r="O86" s="838"/>
      <c r="P86" s="406">
        <v>1</v>
      </c>
      <c r="Q86" s="395"/>
    </row>
    <row r="87" spans="1:17" ht="59.45">
      <c r="A87" s="3469"/>
      <c r="B87" s="3472"/>
      <c r="C87" s="391" t="s">
        <v>134</v>
      </c>
      <c r="D87" s="385">
        <v>2021</v>
      </c>
      <c r="E87" s="404" t="s">
        <v>22</v>
      </c>
      <c r="F87" s="382" t="s">
        <v>23</v>
      </c>
      <c r="G87" s="382" t="s">
        <v>23</v>
      </c>
      <c r="H87" s="393" t="s">
        <v>24</v>
      </c>
      <c r="I87" s="393" t="s">
        <v>24</v>
      </c>
      <c r="J87" s="393" t="s">
        <v>24</v>
      </c>
      <c r="K87" s="393" t="s">
        <v>24</v>
      </c>
      <c r="L87" s="393" t="s">
        <v>24</v>
      </c>
      <c r="M87" s="405" t="s">
        <v>56</v>
      </c>
      <c r="N87" s="838"/>
      <c r="O87" s="838"/>
      <c r="P87" s="406">
        <v>1</v>
      </c>
      <c r="Q87" s="395"/>
    </row>
    <row r="88" spans="1:17" ht="39.6">
      <c r="A88" s="3469"/>
      <c r="B88" s="3472"/>
      <c r="C88" s="391" t="s">
        <v>135</v>
      </c>
      <c r="D88" s="385">
        <v>2021</v>
      </c>
      <c r="E88" s="404" t="s">
        <v>22</v>
      </c>
      <c r="F88" s="382" t="s">
        <v>23</v>
      </c>
      <c r="G88" s="382" t="s">
        <v>23</v>
      </c>
      <c r="H88" s="393" t="s">
        <v>24</v>
      </c>
      <c r="I88" s="393" t="s">
        <v>24</v>
      </c>
      <c r="J88" s="393" t="s">
        <v>24</v>
      </c>
      <c r="K88" s="393" t="s">
        <v>24</v>
      </c>
      <c r="L88" s="393" t="s">
        <v>24</v>
      </c>
      <c r="M88" s="405" t="s">
        <v>27</v>
      </c>
      <c r="N88" s="838"/>
      <c r="O88" s="838"/>
      <c r="P88" s="405" t="s">
        <v>24</v>
      </c>
      <c r="Q88" s="395"/>
    </row>
    <row r="89" spans="1:17" ht="39.6">
      <c r="A89" s="3469"/>
      <c r="B89" s="3472"/>
      <c r="C89" s="391" t="s">
        <v>136</v>
      </c>
      <c r="D89" s="385">
        <v>2022</v>
      </c>
      <c r="E89" s="404" t="s">
        <v>22</v>
      </c>
      <c r="F89" s="382" t="s">
        <v>23</v>
      </c>
      <c r="G89" s="382" t="s">
        <v>23</v>
      </c>
      <c r="H89" s="393" t="s">
        <v>24</v>
      </c>
      <c r="I89" s="393" t="s">
        <v>24</v>
      </c>
      <c r="J89" s="393" t="s">
        <v>24</v>
      </c>
      <c r="K89" s="393" t="s">
        <v>24</v>
      </c>
      <c r="L89" s="393" t="s">
        <v>24</v>
      </c>
      <c r="M89" s="405" t="s">
        <v>27</v>
      </c>
      <c r="N89" s="838"/>
      <c r="O89" s="838"/>
      <c r="P89" s="405" t="s">
        <v>24</v>
      </c>
      <c r="Q89" s="395"/>
    </row>
    <row r="90" spans="1:17" ht="29.45">
      <c r="A90" s="3469"/>
      <c r="B90" s="3472"/>
      <c r="C90" s="3478" t="s">
        <v>137</v>
      </c>
      <c r="D90" s="396">
        <v>2025</v>
      </c>
      <c r="E90" s="409" t="s">
        <v>22</v>
      </c>
      <c r="F90" s="397" t="s">
        <v>23</v>
      </c>
      <c r="G90" s="397" t="s">
        <v>23</v>
      </c>
      <c r="H90" s="398" t="s">
        <v>24</v>
      </c>
      <c r="I90" s="398" t="s">
        <v>24</v>
      </c>
      <c r="J90" s="398" t="s">
        <v>24</v>
      </c>
      <c r="K90" s="398" t="s">
        <v>24</v>
      </c>
      <c r="L90" s="398" t="s">
        <v>24</v>
      </c>
      <c r="M90" s="410" t="s">
        <v>27</v>
      </c>
      <c r="N90" s="838"/>
      <c r="O90" s="838"/>
      <c r="P90" s="410" t="s">
        <v>24</v>
      </c>
      <c r="Q90" s="395"/>
    </row>
    <row r="91" spans="1:17" ht="29.45">
      <c r="A91" s="3469"/>
      <c r="B91" s="3472"/>
      <c r="C91" s="3478"/>
      <c r="D91" s="396" t="s">
        <v>24</v>
      </c>
      <c r="E91" s="411" t="s">
        <v>138</v>
      </c>
      <c r="F91" s="397" t="s">
        <v>29</v>
      </c>
      <c r="G91" s="397" t="s">
        <v>29</v>
      </c>
      <c r="H91" s="412">
        <f>'[1]Community outreach&amp;neightbour'!C8</f>
        <v>12</v>
      </c>
      <c r="I91" s="412">
        <f>'[1]Community outreach&amp;neightbour'!D8</f>
        <v>6</v>
      </c>
      <c r="J91" s="412">
        <f>'[1]Community outreach&amp;neightbour'!E8</f>
        <v>8</v>
      </c>
      <c r="K91" s="412">
        <f>'[1]Community outreach&amp;neightbour'!F8</f>
        <v>8</v>
      </c>
      <c r="L91" s="412">
        <f>'[1]Community outreach&amp;neightbour'!G8</f>
        <v>10</v>
      </c>
      <c r="M91" s="413">
        <f>'[1]Community outreach&amp;neightbour'!H8</f>
        <v>18</v>
      </c>
      <c r="N91" s="839">
        <v>68</v>
      </c>
      <c r="O91" s="839">
        <v>130</v>
      </c>
      <c r="P91" s="254">
        <f t="shared" ref="P91" si="11">(O91-N91)/N91</f>
        <v>0.91176470588235292</v>
      </c>
      <c r="Q91" s="395"/>
    </row>
    <row r="92" spans="1:17" ht="29.45">
      <c r="A92" s="3469"/>
      <c r="B92" s="3472"/>
      <c r="C92" s="3479" t="s">
        <v>139</v>
      </c>
      <c r="D92" s="396">
        <v>2025</v>
      </c>
      <c r="E92" s="409" t="s">
        <v>22</v>
      </c>
      <c r="F92" s="397" t="s">
        <v>23</v>
      </c>
      <c r="G92" s="397" t="s">
        <v>23</v>
      </c>
      <c r="H92" s="398" t="s">
        <v>24</v>
      </c>
      <c r="I92" s="398" t="s">
        <v>24</v>
      </c>
      <c r="J92" s="398" t="s">
        <v>24</v>
      </c>
      <c r="K92" s="398" t="s">
        <v>24</v>
      </c>
      <c r="L92" s="398" t="s">
        <v>24</v>
      </c>
      <c r="M92" s="415" t="s">
        <v>27</v>
      </c>
      <c r="N92" s="840"/>
      <c r="O92" s="840"/>
      <c r="P92" s="405" t="s">
        <v>24</v>
      </c>
      <c r="Q92" s="395"/>
    </row>
    <row r="93" spans="1:17" ht="29.45">
      <c r="A93" s="3469"/>
      <c r="B93" s="3472"/>
      <c r="C93" s="3480"/>
      <c r="D93" s="396" t="s">
        <v>24</v>
      </c>
      <c r="E93" s="416" t="s">
        <v>140</v>
      </c>
      <c r="F93" s="397" t="s">
        <v>23</v>
      </c>
      <c r="G93" s="397" t="s">
        <v>29</v>
      </c>
      <c r="H93" s="472">
        <f>'[1]Noise Procedures'!H9</f>
        <v>0.94451184698829571</v>
      </c>
      <c r="I93" s="472">
        <f>'[1]Noise Procedures'!I9</f>
        <v>0.94</v>
      </c>
      <c r="J93" s="472">
        <f>'[1]Noise Procedures'!J9</f>
        <v>0.92200000000000004</v>
      </c>
      <c r="K93" s="389">
        <f>'[1]Noise Procedures'!K9</f>
        <v>0.9</v>
      </c>
      <c r="L93" s="389">
        <f>'[1]Noise Procedures'!L9</f>
        <v>0.89100000000000001</v>
      </c>
      <c r="M93" s="389">
        <f>'[1]Noise Procedures'!M9</f>
        <v>0.91539999999999999</v>
      </c>
      <c r="N93" s="834">
        <v>0.90900000000000003</v>
      </c>
      <c r="O93" s="834">
        <v>0.93700000000000006</v>
      </c>
      <c r="P93" s="254">
        <f t="shared" ref="P93:P99" si="12">(O93-N93)/N93</f>
        <v>3.080308030803083E-2</v>
      </c>
      <c r="Q93" s="395"/>
    </row>
    <row r="94" spans="1:17" ht="29.45">
      <c r="A94" s="3469"/>
      <c r="B94" s="3472"/>
      <c r="C94" s="3480"/>
      <c r="D94" s="396"/>
      <c r="E94" s="386" t="s">
        <v>141</v>
      </c>
      <c r="F94" s="397" t="s">
        <v>23</v>
      </c>
      <c r="G94" s="397" t="s">
        <v>29</v>
      </c>
      <c r="H94" s="480" t="str">
        <f>'[1]Noise Procedures'!H11</f>
        <v>n/a</v>
      </c>
      <c r="I94" s="480" t="str">
        <f>'[1]Noise Procedures'!I11</f>
        <v>n/a</v>
      </c>
      <c r="J94" s="480" t="str">
        <f>'[1]Noise Procedures'!J11</f>
        <v>n/a</v>
      </c>
      <c r="K94" s="417">
        <f>'[1]Noise Procedures'!K11</f>
        <v>0.94123420827660453</v>
      </c>
      <c r="L94" s="417">
        <f>'[1]Noise Procedures'!L11</f>
        <v>0.95197097146627085</v>
      </c>
      <c r="M94" s="417">
        <f>'[1]Noise Procedures'!M11</f>
        <v>0.96432903296945638</v>
      </c>
      <c r="N94" s="841">
        <v>0.95699999999999996</v>
      </c>
      <c r="O94" s="841">
        <v>0.96699999999999997</v>
      </c>
      <c r="P94" s="254">
        <f t="shared" si="12"/>
        <v>1.0449320794148389E-2</v>
      </c>
      <c r="Q94" s="395"/>
    </row>
    <row r="95" spans="1:17" ht="29.45">
      <c r="A95" s="3469"/>
      <c r="B95" s="3472"/>
      <c r="C95" s="3480"/>
      <c r="D95" s="396" t="s">
        <v>24</v>
      </c>
      <c r="E95" s="386" t="s">
        <v>142</v>
      </c>
      <c r="F95" s="397" t="s">
        <v>23</v>
      </c>
      <c r="G95" s="397" t="s">
        <v>29</v>
      </c>
      <c r="H95" s="480">
        <f>'[1]Noise Procedures'!H14</f>
        <v>0.88687235329703573</v>
      </c>
      <c r="I95" s="480">
        <f>'[1]Noise Procedures'!I14</f>
        <v>0.88</v>
      </c>
      <c r="J95" s="480">
        <f>'[1]Noise Procedures'!J14</f>
        <v>0.91</v>
      </c>
      <c r="K95" s="417">
        <f>'[1]Noise Procedures'!K14</f>
        <v>0.9</v>
      </c>
      <c r="L95" s="417">
        <f>'[1]Noise Procedures'!L14</f>
        <v>0.9</v>
      </c>
      <c r="M95" s="417">
        <f>'[1]Noise Procedures'!M14</f>
        <v>0.871</v>
      </c>
      <c r="N95" s="841">
        <v>0.89</v>
      </c>
      <c r="O95" s="841">
        <v>0.92</v>
      </c>
      <c r="P95" s="254">
        <f t="shared" si="12"/>
        <v>3.3707865168539353E-2</v>
      </c>
      <c r="Q95" s="395"/>
    </row>
    <row r="96" spans="1:17" ht="29.45">
      <c r="A96" s="3469"/>
      <c r="B96" s="3472"/>
      <c r="C96" s="3480"/>
      <c r="D96" s="396" t="s">
        <v>24</v>
      </c>
      <c r="E96" s="386" t="s">
        <v>143</v>
      </c>
      <c r="F96" s="397" t="s">
        <v>23</v>
      </c>
      <c r="G96" s="397" t="s">
        <v>29</v>
      </c>
      <c r="H96" s="418">
        <f>'[1]Noise Footprint '!$I$51</f>
        <v>8.4</v>
      </c>
      <c r="I96" s="418">
        <f>'[1]Noise Footprint '!$I$52</f>
        <v>7.9</v>
      </c>
      <c r="J96" s="418">
        <f>'[1]Noise Footprint '!$I$53</f>
        <v>9</v>
      </c>
      <c r="K96" s="418">
        <f>'[1]Noise Footprint '!$I$54</f>
        <v>7.7</v>
      </c>
      <c r="L96" s="418">
        <f>'[1]Noise Footprint '!$I$55</f>
        <v>8.3000000000000007</v>
      </c>
      <c r="M96" s="418">
        <f>'[1]Noise Footprint '!$I$57</f>
        <v>5.0999999999999996</v>
      </c>
      <c r="N96" s="844">
        <v>5.0999999999999996</v>
      </c>
      <c r="O96" s="844">
        <v>6.8</v>
      </c>
      <c r="P96" s="254">
        <f t="shared" si="12"/>
        <v>0.33333333333333337</v>
      </c>
      <c r="Q96" s="419"/>
    </row>
    <row r="97" spans="1:17" ht="29.45">
      <c r="A97" s="3469"/>
      <c r="B97" s="3472"/>
      <c r="C97" s="3480"/>
      <c r="D97" s="396"/>
      <c r="E97" s="386" t="s">
        <v>144</v>
      </c>
      <c r="F97" s="397" t="s">
        <v>23</v>
      </c>
      <c r="G97" s="397" t="s">
        <v>29</v>
      </c>
      <c r="H97" s="420">
        <f>'[1]Noise Footprint '!$J$51</f>
        <v>1100</v>
      </c>
      <c r="I97" s="420">
        <f>'[1]Noise Footprint '!$J$52</f>
        <v>1000</v>
      </c>
      <c r="J97" s="420">
        <f>'[1]Noise Footprint '!$J$53</f>
        <v>1700</v>
      </c>
      <c r="K97" s="420">
        <f>'[1]Noise Footprint '!$J$54</f>
        <v>900</v>
      </c>
      <c r="L97" s="420">
        <f>'[1]Noise Footprint '!$J$55</f>
        <v>1000</v>
      </c>
      <c r="M97" s="420">
        <v>600</v>
      </c>
      <c r="N97" s="843">
        <v>700</v>
      </c>
      <c r="O97" s="843">
        <v>900</v>
      </c>
      <c r="P97" s="254">
        <f t="shared" si="12"/>
        <v>0.2857142857142857</v>
      </c>
      <c r="Q97" s="419"/>
    </row>
    <row r="98" spans="1:17" ht="29.45">
      <c r="A98" s="3469"/>
      <c r="B98" s="3472"/>
      <c r="C98" s="3480"/>
      <c r="D98" s="396"/>
      <c r="E98" s="386" t="s">
        <v>145</v>
      </c>
      <c r="F98" s="397" t="s">
        <v>23</v>
      </c>
      <c r="G98" s="397" t="s">
        <v>29</v>
      </c>
      <c r="H98" s="418">
        <f>'[1]Noise Footprint '!$I$70</f>
        <v>8.6</v>
      </c>
      <c r="I98" s="418">
        <f>'[1]Noise Footprint '!$I$71</f>
        <v>8</v>
      </c>
      <c r="J98" s="418">
        <f>'[1]Noise Footprint '!$I$72</f>
        <v>7.8</v>
      </c>
      <c r="K98" s="418">
        <f>'[1]Noise Footprint '!$I$73</f>
        <v>7.6</v>
      </c>
      <c r="L98" s="418">
        <f>'[1]Noise Footprint '!$I$74</f>
        <v>8.5</v>
      </c>
      <c r="M98" s="418">
        <v>7.5</v>
      </c>
      <c r="N98" s="844">
        <v>7.8</v>
      </c>
      <c r="O98" s="844">
        <v>9.8000000000000007</v>
      </c>
      <c r="P98" s="254">
        <f t="shared" si="12"/>
        <v>0.25641025641025655</v>
      </c>
      <c r="Q98" s="419"/>
    </row>
    <row r="99" spans="1:17" ht="29.45">
      <c r="A99" s="3469"/>
      <c r="B99" s="3472"/>
      <c r="C99" s="3480"/>
      <c r="D99" s="396" t="s">
        <v>24</v>
      </c>
      <c r="E99" s="386" t="s">
        <v>146</v>
      </c>
      <c r="F99" s="397" t="s">
        <v>23</v>
      </c>
      <c r="G99" s="397" t="s">
        <v>29</v>
      </c>
      <c r="H99" s="421">
        <f>'[1]Noise Footprint '!$J$70</f>
        <v>1000</v>
      </c>
      <c r="I99" s="421">
        <f>'[1]Noise Footprint '!$J$71</f>
        <v>1000</v>
      </c>
      <c r="J99" s="421">
        <f>'[1]Noise Footprint '!$J$72</f>
        <v>900</v>
      </c>
      <c r="K99" s="421">
        <f>'[1]Noise Footprint '!$J$73</f>
        <v>900</v>
      </c>
      <c r="L99" s="421">
        <f>'[1]Noise Footprint '!$J$74</f>
        <v>1000</v>
      </c>
      <c r="M99" s="421">
        <f>'[1]Noise Footprint '!$J$76</f>
        <v>1000</v>
      </c>
      <c r="N99" s="845">
        <v>1000</v>
      </c>
      <c r="O99" s="845">
        <v>1700</v>
      </c>
      <c r="P99" s="254">
        <f t="shared" si="12"/>
        <v>0.7</v>
      </c>
      <c r="Q99" s="419"/>
    </row>
    <row r="100" spans="1:17" ht="29.45">
      <c r="A100" s="3469"/>
      <c r="B100" s="3472"/>
      <c r="C100" s="3478" t="s">
        <v>147</v>
      </c>
      <c r="D100" s="3476">
        <v>2024</v>
      </c>
      <c r="E100" s="409" t="s">
        <v>22</v>
      </c>
      <c r="F100" s="397" t="s">
        <v>23</v>
      </c>
      <c r="G100" s="397" t="s">
        <v>23</v>
      </c>
      <c r="H100" s="398" t="s">
        <v>24</v>
      </c>
      <c r="I100" s="398" t="s">
        <v>24</v>
      </c>
      <c r="J100" s="398" t="s">
        <v>24</v>
      </c>
      <c r="K100" s="398" t="s">
        <v>24</v>
      </c>
      <c r="L100" s="398" t="s">
        <v>24</v>
      </c>
      <c r="M100" s="405" t="s">
        <v>27</v>
      </c>
      <c r="N100" s="838"/>
      <c r="O100" s="838"/>
      <c r="P100" s="405" t="s">
        <v>24</v>
      </c>
      <c r="Q100" s="408"/>
    </row>
    <row r="101" spans="1:17" ht="29.45">
      <c r="A101" s="3469"/>
      <c r="B101" s="3472"/>
      <c r="C101" s="3478"/>
      <c r="D101" s="3476"/>
      <c r="E101" s="422" t="s">
        <v>148</v>
      </c>
      <c r="F101" s="397" t="s">
        <v>29</v>
      </c>
      <c r="G101" s="397" t="s">
        <v>29</v>
      </c>
      <c r="H101" s="394">
        <f>'[1]Noise Complaints'!H7</f>
        <v>347</v>
      </c>
      <c r="I101" s="394">
        <f>'[1]Noise Complaints'!I7</f>
        <v>190</v>
      </c>
      <c r="J101" s="394">
        <f>'[1]Noise Complaints'!J7</f>
        <v>262</v>
      </c>
      <c r="K101" s="394">
        <f>'[1]Noise Complaints'!K7</f>
        <v>192</v>
      </c>
      <c r="L101" s="394">
        <f>'[1]Noise Complaints'!N7</f>
        <v>199</v>
      </c>
      <c r="M101" s="423">
        <f>'[1]Noise Complaints'!Q7</f>
        <v>1703</v>
      </c>
      <c r="N101" s="846">
        <v>5510</v>
      </c>
      <c r="O101" s="846">
        <v>5166</v>
      </c>
      <c r="P101" s="254">
        <f t="shared" ref="P101" si="13">(O101-N101)/N101</f>
        <v>-6.2431941923774957E-2</v>
      </c>
      <c r="Q101" s="427"/>
    </row>
    <row r="102" spans="1:17" ht="29.45">
      <c r="A102" s="3469"/>
      <c r="B102" s="3472"/>
      <c r="C102" s="3478"/>
      <c r="D102" s="3476"/>
      <c r="E102" s="424" t="s">
        <v>149</v>
      </c>
      <c r="F102" s="397" t="s">
        <v>23</v>
      </c>
      <c r="G102" s="397" t="s">
        <v>23</v>
      </c>
      <c r="H102" s="425">
        <f>'[1]Noise Complaints'!H12</f>
        <v>4.4978482915953757</v>
      </c>
      <c r="I102" s="425">
        <f>'[1]Noise Complaints'!I12</f>
        <v>2.5361399949277201</v>
      </c>
      <c r="J102" s="425">
        <f>'[1]Noise Complaints'!J12</f>
        <v>3.4575134935402563</v>
      </c>
      <c r="K102" s="425">
        <f>'[1]Noise Complaints'!K12</f>
        <v>2.4960024960024958</v>
      </c>
      <c r="L102" s="425">
        <f>'[1]Noise Complaints'!N12</f>
        <v>2.6826276270203961</v>
      </c>
      <c r="M102" s="425">
        <f>'[1]Noise Complaints'!Q12</f>
        <v>37.597968870736281</v>
      </c>
      <c r="N102" s="862"/>
      <c r="O102" s="862"/>
      <c r="P102" s="417">
        <f>(M102-L102)/L102</f>
        <v>13.015351401005468</v>
      </c>
      <c r="Q102" s="419"/>
    </row>
    <row r="103" spans="1:17" ht="29.45">
      <c r="A103" s="3469"/>
      <c r="B103" s="3472"/>
      <c r="C103" s="3481"/>
      <c r="D103" s="3477"/>
      <c r="E103" s="422" t="s">
        <v>150</v>
      </c>
      <c r="F103" s="397" t="s">
        <v>29</v>
      </c>
      <c r="G103" s="397" t="s">
        <v>29</v>
      </c>
      <c r="H103" s="398" t="str">
        <f>'[1]Noise Complaints'!H10</f>
        <v>n/a</v>
      </c>
      <c r="I103" s="398" t="str">
        <f>'[1]Noise Complaints'!I10</f>
        <v>n/a</v>
      </c>
      <c r="J103" s="398" t="str">
        <f>'[1]Noise Complaints'!J10</f>
        <v>n/a</v>
      </c>
      <c r="K103" s="398">
        <f>'[1]Noise Complaints'!K10</f>
        <v>104</v>
      </c>
      <c r="L103" s="398">
        <f>'[1]Noise Complaints'!N10</f>
        <v>90</v>
      </c>
      <c r="M103" s="423">
        <f>'[1]Noise Complaints'!Q10</f>
        <v>233</v>
      </c>
      <c r="N103" s="846">
        <v>365</v>
      </c>
      <c r="O103" s="846">
        <v>248</v>
      </c>
      <c r="P103" s="254">
        <f t="shared" ref="P103:P104" si="14">(O103-N103)/N103</f>
        <v>-0.32054794520547947</v>
      </c>
      <c r="Q103" s="427"/>
    </row>
    <row r="104" spans="1:17" ht="29.45">
      <c r="A104" s="3469"/>
      <c r="B104" s="3472"/>
      <c r="C104" s="3481"/>
      <c r="D104" s="3477"/>
      <c r="E104" s="422" t="s">
        <v>151</v>
      </c>
      <c r="F104" s="397" t="s">
        <v>29</v>
      </c>
      <c r="G104" s="397" t="s">
        <v>29</v>
      </c>
      <c r="H104" s="481">
        <f>'[1]Noise Complaints'!H11</f>
        <v>222.328530259366</v>
      </c>
      <c r="I104" s="481">
        <f>'[1]Noise Complaints'!I11</f>
        <v>394.3</v>
      </c>
      <c r="J104" s="481">
        <f>'[1]Noise Complaints'!J11</f>
        <v>289.22519083969468</v>
      </c>
      <c r="K104" s="474">
        <f>'[1]Noise Complaints'!K11</f>
        <v>400.640625</v>
      </c>
      <c r="L104" s="474">
        <f>'[1]Noise Complaints'!N11</f>
        <v>372.76884422110555</v>
      </c>
      <c r="M104" s="474">
        <v>26.6</v>
      </c>
      <c r="N104" s="848">
        <v>10.7</v>
      </c>
      <c r="O104" s="848">
        <v>12</v>
      </c>
      <c r="P104" s="254">
        <f t="shared" si="14"/>
        <v>0.12149532710280381</v>
      </c>
      <c r="Q104" s="407"/>
    </row>
    <row r="105" spans="1:17" ht="60" thickBot="1">
      <c r="A105" s="3470"/>
      <c r="B105" s="3473"/>
      <c r="C105" s="429" t="s">
        <v>152</v>
      </c>
      <c r="D105" s="430">
        <v>2025</v>
      </c>
      <c r="E105" s="431" t="s">
        <v>22</v>
      </c>
      <c r="F105" s="432" t="s">
        <v>23</v>
      </c>
      <c r="G105" s="432" t="s">
        <v>23</v>
      </c>
      <c r="H105" s="433" t="s">
        <v>24</v>
      </c>
      <c r="I105" s="433" t="s">
        <v>24</v>
      </c>
      <c r="J105" s="433" t="s">
        <v>24</v>
      </c>
      <c r="K105" s="433" t="s">
        <v>24</v>
      </c>
      <c r="L105" s="434" t="s">
        <v>24</v>
      </c>
      <c r="M105" s="435" t="s">
        <v>27</v>
      </c>
      <c r="N105" s="849"/>
      <c r="O105" s="849"/>
      <c r="P105" s="435"/>
      <c r="Q105" s="436"/>
    </row>
    <row r="106" spans="1:17">
      <c r="C106" s="230"/>
      <c r="D106" s="230"/>
      <c r="P106" s="230"/>
    </row>
    <row r="107" spans="1:17">
      <c r="C107" s="230"/>
      <c r="D107" s="230"/>
      <c r="P107" s="230"/>
    </row>
    <row r="108" spans="1:17">
      <c r="C108" s="230"/>
      <c r="D108" s="230"/>
      <c r="P108" s="230"/>
    </row>
    <row r="109" spans="1:17">
      <c r="A109" s="440"/>
      <c r="B109" s="441"/>
      <c r="C109" s="230"/>
      <c r="D109" s="230"/>
      <c r="P109" s="230"/>
    </row>
    <row r="110" spans="1:17" ht="27">
      <c r="A110" s="442"/>
      <c r="B110" s="443"/>
      <c r="C110" s="230"/>
      <c r="D110" s="230"/>
      <c r="P110" s="230"/>
    </row>
    <row r="111" spans="1:17" ht="27">
      <c r="A111" s="475"/>
      <c r="B111" s="476"/>
      <c r="C111" s="230"/>
      <c r="D111" s="439"/>
    </row>
    <row r="112" spans="1:17">
      <c r="A112" s="438"/>
      <c r="C112" s="230"/>
      <c r="D112" s="439"/>
    </row>
  </sheetData>
  <autoFilter ref="A2:R105" xr:uid="{F8FC10CC-3961-4054-9E7C-A4A6B7B0FD8D}">
    <filterColumn colId="6">
      <filters>
        <filter val="ü"/>
      </filters>
    </filterColumn>
  </autoFilter>
  <mergeCells count="32">
    <mergeCell ref="A80:A105"/>
    <mergeCell ref="B80:B105"/>
    <mergeCell ref="C83:C84"/>
    <mergeCell ref="D83:D84"/>
    <mergeCell ref="C90:C91"/>
    <mergeCell ref="C92:C99"/>
    <mergeCell ref="C100:C104"/>
    <mergeCell ref="D100:D104"/>
    <mergeCell ref="A38:A79"/>
    <mergeCell ref="B38:B79"/>
    <mergeCell ref="C39:C42"/>
    <mergeCell ref="C43:C44"/>
    <mergeCell ref="D43:D44"/>
    <mergeCell ref="C45:C50"/>
    <mergeCell ref="D45:D50"/>
    <mergeCell ref="C55:C56"/>
    <mergeCell ref="D55:D56"/>
    <mergeCell ref="C58:C62"/>
    <mergeCell ref="D58:D62"/>
    <mergeCell ref="C65:C68"/>
    <mergeCell ref="D65:D68"/>
    <mergeCell ref="C71:C72"/>
    <mergeCell ref="C73:C74"/>
    <mergeCell ref="A3:A37"/>
    <mergeCell ref="B3:B37"/>
    <mergeCell ref="C4:C11"/>
    <mergeCell ref="C12:C16"/>
    <mergeCell ref="D12:D16"/>
    <mergeCell ref="C19:C22"/>
    <mergeCell ref="D19:D22"/>
    <mergeCell ref="C27:C30"/>
    <mergeCell ref="C36:C37"/>
  </mergeCells>
  <pageMargins left="0.7" right="0.7" top="0.75" bottom="0.75" header="0.3" footer="0.3"/>
  <pageSetup paperSize="9" scale="27" fitToHeight="0" orientation="landscape" r:id="rId1"/>
  <headerFooter>
    <oddHeader>&amp;L&amp;"Arial,Regular"&amp;9M.A.G CSR Data Reporting Spreadsheet
&amp;R&amp;G</oddHeader>
    <oddFooter>&amp;C&amp;"Arial,Regular"&amp;9
Produced by Simply Sustainable Ltd
_x000D_&amp;1#&amp;"Calibri"&amp;10&amp;K000000 C2 - Internal</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73F2D-8F88-4E84-82C1-9B938029CA8C}">
  <sheetPr>
    <tabColor theme="0"/>
  </sheetPr>
  <dimension ref="A1:C10"/>
  <sheetViews>
    <sheetView workbookViewId="0"/>
  </sheetViews>
  <sheetFormatPr defaultRowHeight="14.45"/>
  <cols>
    <col min="1" max="1" width="13" customWidth="1"/>
    <col min="2" max="2" width="52.140625" customWidth="1"/>
    <col min="3" max="3" width="17.5703125" customWidth="1"/>
  </cols>
  <sheetData>
    <row r="1" spans="1:3" ht="17.45">
      <c r="A1" s="15" t="s">
        <v>1031</v>
      </c>
      <c r="B1" s="15" t="s">
        <v>1032</v>
      </c>
    </row>
    <row r="2" spans="1:3" ht="15" thickBot="1"/>
    <row r="3" spans="1:3" ht="15" thickBot="1">
      <c r="B3" s="3094"/>
      <c r="C3" s="3095" t="s">
        <v>164</v>
      </c>
    </row>
    <row r="4" spans="1:3" ht="39.75" customHeight="1">
      <c r="B4" s="3096" t="s">
        <v>1033</v>
      </c>
      <c r="C4" s="3134" t="s">
        <v>24</v>
      </c>
    </row>
    <row r="5" spans="1:3" ht="42.75" customHeight="1">
      <c r="B5" s="3097" t="s">
        <v>1034</v>
      </c>
      <c r="C5" s="3135">
        <v>0</v>
      </c>
    </row>
    <row r="6" spans="1:3" ht="33.75" customHeight="1">
      <c r="B6" s="3097" t="s">
        <v>1035</v>
      </c>
      <c r="C6" s="3134">
        <v>0</v>
      </c>
    </row>
    <row r="7" spans="1:3" ht="39.6">
      <c r="B7" s="3097" t="s">
        <v>1036</v>
      </c>
      <c r="C7" s="3134" t="s">
        <v>24</v>
      </c>
    </row>
    <row r="8" spans="1:3" ht="51" customHeight="1">
      <c r="B8" s="3097" t="s">
        <v>1037</v>
      </c>
      <c r="C8" s="3134">
        <v>0</v>
      </c>
    </row>
    <row r="9" spans="1:3" ht="55.5" customHeight="1">
      <c r="B9" s="3098" t="s">
        <v>1038</v>
      </c>
      <c r="C9" s="3134" t="s">
        <v>24</v>
      </c>
    </row>
    <row r="10" spans="1:3" ht="45.4" customHeight="1" thickBot="1">
      <c r="B10" s="3099" t="s">
        <v>1039</v>
      </c>
      <c r="C10" s="3136" t="s">
        <v>24</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B850E-3D09-4A45-B841-32785FCACC2A}">
  <sheetPr>
    <tabColor theme="0"/>
  </sheetPr>
  <dimension ref="A1:Q27"/>
  <sheetViews>
    <sheetView workbookViewId="0">
      <selection sqref="A1:B1"/>
    </sheetView>
  </sheetViews>
  <sheetFormatPr defaultRowHeight="14.45"/>
  <cols>
    <col min="2" max="2" width="42.7109375" customWidth="1"/>
    <col min="3" max="8" width="0" hidden="1" customWidth="1"/>
  </cols>
  <sheetData>
    <row r="1" spans="1:17" s="773" customFormat="1" ht="15.6">
      <c r="A1" s="4424" t="s">
        <v>1040</v>
      </c>
      <c r="B1" s="4425"/>
      <c r="C1" s="1802"/>
      <c r="D1" s="1802"/>
      <c r="E1" s="1802"/>
      <c r="F1" s="1802"/>
      <c r="G1" s="1802"/>
      <c r="H1" s="1802"/>
      <c r="I1" s="1802"/>
      <c r="J1" s="1802"/>
      <c r="K1" s="1802"/>
      <c r="L1" s="1802"/>
      <c r="M1" s="1802"/>
      <c r="N1" s="1802"/>
      <c r="O1" s="1802"/>
      <c r="P1" s="1802"/>
      <c r="Q1" s="1802"/>
    </row>
    <row r="2" spans="1:17" ht="20.65" customHeight="1" thickBot="1">
      <c r="A2" s="4422" t="s">
        <v>1041</v>
      </c>
      <c r="B2" s="4423"/>
      <c r="C2" s="4423"/>
      <c r="D2" s="4423"/>
      <c r="E2" s="4423"/>
      <c r="F2" s="8"/>
      <c r="G2" s="8"/>
      <c r="H2" s="8"/>
      <c r="I2" s="8"/>
      <c r="J2" s="8"/>
      <c r="K2" s="8"/>
      <c r="L2" s="8"/>
      <c r="M2" s="8"/>
      <c r="N2" s="8"/>
      <c r="O2" s="8"/>
      <c r="P2" s="8"/>
      <c r="Q2" s="8"/>
    </row>
    <row r="3" spans="1:17" ht="15" thickBot="1">
      <c r="A3" s="1809"/>
      <c r="B3" s="1810"/>
      <c r="C3" s="1801">
        <v>2011</v>
      </c>
      <c r="D3" s="774">
        <v>2012</v>
      </c>
      <c r="E3" s="774">
        <v>2013</v>
      </c>
      <c r="F3" s="774" t="s">
        <v>1042</v>
      </c>
      <c r="G3" s="774" t="s">
        <v>879</v>
      </c>
      <c r="H3" s="878" t="s">
        <v>9</v>
      </c>
      <c r="I3" s="2646" t="s">
        <v>196</v>
      </c>
      <c r="J3" s="2647" t="s">
        <v>11</v>
      </c>
      <c r="K3" s="2647" t="s">
        <v>12</v>
      </c>
      <c r="L3" s="2647" t="s">
        <v>13</v>
      </c>
      <c r="M3" s="2647" t="s">
        <v>14</v>
      </c>
      <c r="N3" s="2647" t="s">
        <v>15</v>
      </c>
      <c r="O3" s="2647" t="s">
        <v>16</v>
      </c>
      <c r="P3" s="2647" t="s">
        <v>163</v>
      </c>
      <c r="Q3" s="2648" t="s">
        <v>164</v>
      </c>
    </row>
    <row r="4" spans="1:17">
      <c r="A4" s="4426" t="s">
        <v>172</v>
      </c>
      <c r="B4" s="1794" t="s">
        <v>1043</v>
      </c>
      <c r="C4" s="1080">
        <v>600</v>
      </c>
      <c r="D4" s="775">
        <v>425</v>
      </c>
      <c r="E4" s="775">
        <v>737</v>
      </c>
      <c r="F4" s="776"/>
      <c r="G4" s="775">
        <v>749</v>
      </c>
      <c r="H4" s="879">
        <f>SUM(H5:H6)</f>
        <v>347</v>
      </c>
      <c r="I4" s="1616">
        <f>SUM(I5:I6)</f>
        <v>190</v>
      </c>
      <c r="J4" s="2159">
        <v>262</v>
      </c>
      <c r="K4" s="2159">
        <v>192</v>
      </c>
      <c r="L4" s="2159">
        <v>199</v>
      </c>
      <c r="M4" s="1132">
        <v>1703</v>
      </c>
      <c r="N4" s="1132">
        <v>5510</v>
      </c>
      <c r="O4" s="1132">
        <v>5166</v>
      </c>
      <c r="P4" s="1132">
        <v>3138</v>
      </c>
      <c r="Q4" s="2948">
        <v>625</v>
      </c>
    </row>
    <row r="5" spans="1:17">
      <c r="A5" s="4426"/>
      <c r="B5" s="1795" t="s">
        <v>1044</v>
      </c>
      <c r="C5" s="1081">
        <v>257</v>
      </c>
      <c r="D5" s="777">
        <v>132</v>
      </c>
      <c r="E5" s="777">
        <v>101</v>
      </c>
      <c r="F5" s="778"/>
      <c r="G5" s="779">
        <v>230</v>
      </c>
      <c r="H5" s="880">
        <v>215</v>
      </c>
      <c r="I5" s="1618">
        <v>122</v>
      </c>
      <c r="J5" s="1262">
        <v>179</v>
      </c>
      <c r="K5" s="1262">
        <v>87</v>
      </c>
      <c r="L5" s="1262">
        <v>77</v>
      </c>
      <c r="M5" s="2163">
        <v>601</v>
      </c>
      <c r="N5" s="2163" t="s">
        <v>24</v>
      </c>
      <c r="O5" s="2163" t="s">
        <v>24</v>
      </c>
      <c r="P5" s="2163">
        <v>2193</v>
      </c>
      <c r="Q5" s="2949">
        <v>366</v>
      </c>
    </row>
    <row r="6" spans="1:17">
      <c r="A6" s="4426"/>
      <c r="B6" s="1795" t="s">
        <v>1045</v>
      </c>
      <c r="C6" s="1081">
        <v>343</v>
      </c>
      <c r="D6" s="777">
        <v>293</v>
      </c>
      <c r="E6" s="777">
        <v>636</v>
      </c>
      <c r="F6" s="778"/>
      <c r="G6" s="779">
        <v>519</v>
      </c>
      <c r="H6" s="880">
        <v>132</v>
      </c>
      <c r="I6" s="1618">
        <v>68</v>
      </c>
      <c r="J6" s="1262">
        <v>84</v>
      </c>
      <c r="K6" s="1262">
        <v>105</v>
      </c>
      <c r="L6" s="1262">
        <v>122</v>
      </c>
      <c r="M6" s="2163">
        <v>1102</v>
      </c>
      <c r="N6" s="2163" t="s">
        <v>24</v>
      </c>
      <c r="O6" s="2163" t="s">
        <v>24</v>
      </c>
      <c r="P6" s="2163">
        <v>945</v>
      </c>
      <c r="Q6" s="2949">
        <v>259</v>
      </c>
    </row>
    <row r="7" spans="1:17">
      <c r="A7" s="4426"/>
      <c r="B7" s="1795" t="s">
        <v>150</v>
      </c>
      <c r="C7" s="1081" t="s">
        <v>24</v>
      </c>
      <c r="D7" s="777" t="s">
        <v>24</v>
      </c>
      <c r="E7" s="777" t="s">
        <v>24</v>
      </c>
      <c r="F7" s="777" t="s">
        <v>24</v>
      </c>
      <c r="G7" s="777" t="s">
        <v>24</v>
      </c>
      <c r="H7" s="881" t="s">
        <v>24</v>
      </c>
      <c r="I7" s="2155" t="s">
        <v>24</v>
      </c>
      <c r="J7" s="2160" t="s">
        <v>24</v>
      </c>
      <c r="K7" s="1262">
        <v>104</v>
      </c>
      <c r="L7" s="1262">
        <v>90</v>
      </c>
      <c r="M7" s="2163">
        <v>233</v>
      </c>
      <c r="N7" s="2163">
        <v>365</v>
      </c>
      <c r="O7" s="2163">
        <v>409</v>
      </c>
      <c r="P7" s="2163">
        <v>184</v>
      </c>
      <c r="Q7" s="2949">
        <v>263</v>
      </c>
    </row>
    <row r="8" spans="1:17">
      <c r="A8" s="4426"/>
      <c r="B8" s="1795" t="s">
        <v>1046</v>
      </c>
      <c r="C8" s="1082" t="s">
        <v>24</v>
      </c>
      <c r="D8" s="780" t="s">
        <v>24</v>
      </c>
      <c r="E8" s="780" t="s">
        <v>24</v>
      </c>
      <c r="F8" s="780" t="s">
        <v>24</v>
      </c>
      <c r="G8" s="780" t="s">
        <v>24</v>
      </c>
      <c r="H8" s="882">
        <f>('[2]Passengers (PAX), Air Traffi'!C37/H4)</f>
        <v>222.328530259366</v>
      </c>
      <c r="I8" s="1803">
        <f>('[2]Passengers (PAX), Air Traffi'!D37/I4)</f>
        <v>394.3</v>
      </c>
      <c r="J8" s="2161">
        <f>('[2]Passengers (PAX), Air Traffi'!E37/J4)</f>
        <v>289.22519083969468</v>
      </c>
      <c r="K8" s="2161">
        <f>'G4-AO1, 2, 3 - PAX, ATM, Cargo'!D13/K4</f>
        <v>400.640625</v>
      </c>
      <c r="L8" s="2161">
        <f>'G4-AO1, 2, 3 - PAX, ATM, Cargo'!E13/L4</f>
        <v>372.76884422110555</v>
      </c>
      <c r="M8" s="2161">
        <f>'G4-AO1, 2, 3 - PAX, ATM, Cargo'!F13/M4</f>
        <v>26.59718144450969</v>
      </c>
      <c r="N8" s="2161">
        <f>'G4-AO1, 2, 3 - PAX, ATM, Cargo'!G13/N4</f>
        <v>16.002540834845735</v>
      </c>
      <c r="O8" s="2161">
        <f>'G4-AO1, 2, 3 - PAX, ATM, Cargo'!H13/O4</f>
        <v>12.515485869144406</v>
      </c>
      <c r="P8" s="2161">
        <f>'G4-AO1, 2, 3 - PAX, ATM, Cargo'!I13/P4</f>
        <v>21.32759719566603</v>
      </c>
      <c r="Q8" s="2172">
        <f>'G4-AO1, 2, 3 - PAX, ATM, Cargo'!J13/Q4</f>
        <v>98.878399999999999</v>
      </c>
    </row>
    <row r="9" spans="1:17" ht="15" thickBot="1">
      <c r="A9" s="4427"/>
      <c r="B9" s="1796" t="s">
        <v>1047</v>
      </c>
      <c r="C9" s="1083">
        <v>7.9</v>
      </c>
      <c r="D9" s="781">
        <v>5.6</v>
      </c>
      <c r="E9" s="781">
        <v>9.5399999999999991</v>
      </c>
      <c r="F9" s="782"/>
      <c r="G9" s="781" t="e">
        <f>G4/('[2]Passengers (PAX), Air Traffi'!#REF!/1000)</f>
        <v>#REF!</v>
      </c>
      <c r="H9" s="883">
        <f>H4/('[2]Passengers (PAX), Air Traffi'!C37/1000)</f>
        <v>4.4978482915953757</v>
      </c>
      <c r="I9" s="1805">
        <f>I4/('[2]Passengers (PAX), Air Traffi'!D37/1000)</f>
        <v>2.5361399949277201</v>
      </c>
      <c r="J9" s="2162">
        <f>J4/('[2]Passengers (PAX), Air Traffi'!E37/1000)</f>
        <v>3.4575134935402563</v>
      </c>
      <c r="K9" s="2162">
        <f>K4/('G4-AO1, 2, 3 - PAX, ATM, Cargo'!D13/1000)</f>
        <v>2.4960024960024958</v>
      </c>
      <c r="L9" s="2162">
        <f>L4/('G4-AO1, 2, 3 - PAX, ATM, Cargo'!E13/1000)</f>
        <v>2.6826276270203961</v>
      </c>
      <c r="M9" s="2162">
        <f>M4/('G4-AO1, 2, 3 - PAX, ATM, Cargo'!F13/1000)</f>
        <v>37.597968870736281</v>
      </c>
      <c r="N9" s="2162">
        <f>N4/('G4-AO1, 2, 3 - PAX, ATM, Cargo'!G13/1000)</f>
        <v>62.490076439766817</v>
      </c>
      <c r="O9" s="2162">
        <f>O4/('G4-AO1, 2, 3 - PAX, ATM, Cargo'!H13/1000)</f>
        <v>79.90101306936819</v>
      </c>
      <c r="P9" s="2162">
        <f>P4/('G4-AO1, 2, 3 - PAX, ATM, Cargo'!I13/1000)</f>
        <v>46.887607207961032</v>
      </c>
      <c r="Q9" s="1804">
        <f>Q4/('G4-AO1, 2, 3 - PAX, ATM, Cargo'!J13/1000)</f>
        <v>10.113432256185375</v>
      </c>
    </row>
    <row r="10" spans="1:17">
      <c r="A10" s="4428" t="s">
        <v>165</v>
      </c>
      <c r="B10" s="1797" t="s">
        <v>1043</v>
      </c>
      <c r="C10" s="1084">
        <v>838</v>
      </c>
      <c r="D10" s="783">
        <v>773</v>
      </c>
      <c r="E10" s="783">
        <v>1557</v>
      </c>
      <c r="F10" s="784">
        <v>1509</v>
      </c>
      <c r="G10" s="784">
        <f>SUM(G11:G12)</f>
        <v>860</v>
      </c>
      <c r="H10" s="879">
        <v>678</v>
      </c>
      <c r="I10" s="1617">
        <f>I11+I12</f>
        <v>1251</v>
      </c>
      <c r="J10" s="1132">
        <f>J11+J12</f>
        <v>632</v>
      </c>
      <c r="K10" s="1132">
        <v>658</v>
      </c>
      <c r="L10" s="1132">
        <v>1011</v>
      </c>
      <c r="M10" s="1132">
        <v>213</v>
      </c>
      <c r="N10" s="1132">
        <v>1295</v>
      </c>
      <c r="O10" s="1132">
        <v>1427</v>
      </c>
      <c r="P10" s="1132">
        <v>1473</v>
      </c>
      <c r="Q10" s="2948">
        <v>863</v>
      </c>
    </row>
    <row r="11" spans="1:17">
      <c r="A11" s="4429"/>
      <c r="B11" s="1798" t="s">
        <v>1044</v>
      </c>
      <c r="C11" s="1085">
        <v>573</v>
      </c>
      <c r="D11" s="785">
        <v>642</v>
      </c>
      <c r="E11" s="785">
        <v>1289</v>
      </c>
      <c r="F11" s="788">
        <v>1238</v>
      </c>
      <c r="G11" s="786">
        <v>648</v>
      </c>
      <c r="H11" s="884">
        <v>478</v>
      </c>
      <c r="I11" s="1619">
        <v>933</v>
      </c>
      <c r="J11" s="2163">
        <v>424</v>
      </c>
      <c r="K11" s="2163">
        <v>481</v>
      </c>
      <c r="L11" s="2163">
        <v>746</v>
      </c>
      <c r="M11" s="2163">
        <v>147</v>
      </c>
      <c r="N11" s="2163" t="s">
        <v>24</v>
      </c>
      <c r="O11" s="2163" t="s">
        <v>24</v>
      </c>
      <c r="P11" s="2163">
        <v>1094</v>
      </c>
      <c r="Q11" s="2949">
        <v>613</v>
      </c>
    </row>
    <row r="12" spans="1:17">
      <c r="A12" s="4429"/>
      <c r="B12" s="1798" t="s">
        <v>1045</v>
      </c>
      <c r="C12" s="1085">
        <v>166</v>
      </c>
      <c r="D12" s="785">
        <v>153</v>
      </c>
      <c r="E12" s="785">
        <v>268</v>
      </c>
      <c r="F12" s="788">
        <v>271</v>
      </c>
      <c r="G12" s="786">
        <v>212</v>
      </c>
      <c r="H12" s="884">
        <v>200</v>
      </c>
      <c r="I12" s="1619">
        <v>318</v>
      </c>
      <c r="J12" s="2163">
        <v>208</v>
      </c>
      <c r="K12" s="2163">
        <v>177</v>
      </c>
      <c r="L12" s="2163">
        <v>265</v>
      </c>
      <c r="M12" s="2163">
        <v>66</v>
      </c>
      <c r="N12" s="2163" t="s">
        <v>24</v>
      </c>
      <c r="O12" s="2163" t="s">
        <v>24</v>
      </c>
      <c r="P12" s="2163">
        <v>379</v>
      </c>
      <c r="Q12" s="2949">
        <v>250</v>
      </c>
    </row>
    <row r="13" spans="1:17">
      <c r="A13" s="4429"/>
      <c r="B13" s="1795" t="s">
        <v>150</v>
      </c>
      <c r="C13" s="1085" t="s">
        <v>24</v>
      </c>
      <c r="D13" s="785" t="s">
        <v>24</v>
      </c>
      <c r="E13" s="785" t="s">
        <v>24</v>
      </c>
      <c r="F13" s="785" t="s">
        <v>24</v>
      </c>
      <c r="G13" s="785" t="s">
        <v>24</v>
      </c>
      <c r="H13" s="885" t="s">
        <v>24</v>
      </c>
      <c r="I13" s="2156" t="s">
        <v>24</v>
      </c>
      <c r="J13" s="2164" t="s">
        <v>24</v>
      </c>
      <c r="K13" s="2163">
        <v>63</v>
      </c>
      <c r="L13" s="2163">
        <v>125</v>
      </c>
      <c r="M13" s="2163">
        <v>128</v>
      </c>
      <c r="N13" s="2163">
        <v>695</v>
      </c>
      <c r="O13" s="2163">
        <v>622</v>
      </c>
      <c r="P13" s="2163">
        <v>639</v>
      </c>
      <c r="Q13" s="2949">
        <v>541</v>
      </c>
    </row>
    <row r="14" spans="1:17">
      <c r="A14" s="4429"/>
      <c r="B14" s="1795" t="s">
        <v>1046</v>
      </c>
      <c r="C14" s="737" t="s">
        <v>24</v>
      </c>
      <c r="D14" s="787" t="s">
        <v>24</v>
      </c>
      <c r="E14" s="787" t="s">
        <v>24</v>
      </c>
      <c r="F14" s="787" t="s">
        <v>24</v>
      </c>
      <c r="G14" s="787" t="s">
        <v>24</v>
      </c>
      <c r="H14" s="886">
        <f>('[2]Passengers (PAX), Air Traffi'!C35/H10)</f>
        <v>259.18289085545723</v>
      </c>
      <c r="I14" s="1806">
        <f>('[2]Passengers (PAX), Air Traffi'!D35/I10)</f>
        <v>157.171862509992</v>
      </c>
      <c r="J14" s="2165">
        <f>('[2]Passengers (PAX), Air Traffi'!E35/J10)</f>
        <v>321.36392405063293</v>
      </c>
      <c r="K14" s="2165">
        <f>'G4-AO1, 2, 3 - PAX, ATM, Cargo'!D16/K10</f>
        <v>306.88145896656533</v>
      </c>
      <c r="L14" s="2165">
        <f>'G4-AO1, 2, 3 - PAX, ATM, Cargo'!E16/L10</f>
        <v>193.67655786350147</v>
      </c>
      <c r="M14" s="2165">
        <f>'G4-AO1, 2, 3 - PAX, ATM, Cargo'!F16/M10</f>
        <v>174.97652582159625</v>
      </c>
      <c r="N14" s="2165">
        <f>'G4-AO1, 2, 3 - PAX, ATM, Cargo'!G16/N10</f>
        <v>45.520463320463321</v>
      </c>
      <c r="O14" s="2165">
        <f>'G4-AO1, 2, 3 - PAX, ATM, Cargo'!H16/O10</f>
        <v>116.81779957953749</v>
      </c>
      <c r="P14" s="2165">
        <f>'G4-AO1, 2, 3 - PAX, ATM, Cargo'!I16/P10</f>
        <v>124.78004073319755</v>
      </c>
      <c r="Q14" s="2173">
        <f>'G4-AO1, 2, 3 - PAX, ATM, Cargo'!J16/Q10</f>
        <v>230.99304750869061</v>
      </c>
    </row>
    <row r="15" spans="1:17" ht="15" thickBot="1">
      <c r="A15" s="4430"/>
      <c r="B15" s="1796" t="s">
        <v>1047</v>
      </c>
      <c r="C15" s="1086">
        <v>4.3899999999999997</v>
      </c>
      <c r="D15" s="781">
        <v>4.74</v>
      </c>
      <c r="E15" s="781">
        <v>9.3800000000000008</v>
      </c>
      <c r="F15" s="793">
        <v>9.0399999999999991</v>
      </c>
      <c r="G15" s="781" t="e">
        <f>G10/('[2]Passengers (PAX), Air Traffi'!#REF!/1000)</f>
        <v>#REF!</v>
      </c>
      <c r="H15" s="883">
        <f>H10/('[2]Passengers (PAX), Air Traffi'!C35/1000)</f>
        <v>3.8582793667414044</v>
      </c>
      <c r="I15" s="1805">
        <f>I10/('[2]Passengers (PAX), Air Traffi'!D35/1000)</f>
        <v>6.3624619828910287</v>
      </c>
      <c r="J15" s="2162">
        <f>J10/('[2]Passengers (PAX), Air Traffi'!E35/1000)</f>
        <v>3.1117369597542122</v>
      </c>
      <c r="K15" s="2162">
        <f>K10/('G4-AO1, 2, 3 - PAX, ATM, Cargo'!D16/1000)</f>
        <v>3.2585872192068459</v>
      </c>
      <c r="L15" s="2162">
        <f>L10/('G4-AO1, 2, 3 - PAX, ATM, Cargo'!E16/1000)</f>
        <v>5.1632474834913973</v>
      </c>
      <c r="M15" s="2162">
        <f>M10/('G4-AO1, 2, 3 - PAX, ATM, Cargo'!F16/1000)</f>
        <v>5.7150523209015285</v>
      </c>
      <c r="N15" s="2162">
        <f>N10/('G4-AO1, 2, 3 - PAX, ATM, Cargo'!G16/1000)</f>
        <v>21.968141953213795</v>
      </c>
      <c r="O15" s="2162">
        <f>O10/('G4-AO1, 2, 3 - PAX, ATM, Cargo'!H16/1000)</f>
        <v>8.560339294176929</v>
      </c>
      <c r="P15" s="2162">
        <f>P10/('G4-AO1, 2, 3 - PAX, ATM, Cargo'!I16/1000)</f>
        <v>8.0141022083666584</v>
      </c>
      <c r="Q15" s="1804">
        <f>Q10/('G4-AO1, 2, 3 - PAX, ATM, Cargo'!J16/1000)</f>
        <v>4.3291346245491527</v>
      </c>
    </row>
    <row r="16" spans="1:17">
      <c r="A16" s="4428" t="s">
        <v>399</v>
      </c>
      <c r="B16" s="1797" t="s">
        <v>1043</v>
      </c>
      <c r="C16" s="1087">
        <v>881</v>
      </c>
      <c r="D16" s="784">
        <v>742</v>
      </c>
      <c r="E16" s="784">
        <v>907</v>
      </c>
      <c r="F16" s="784">
        <v>839</v>
      </c>
      <c r="G16" s="784">
        <f>SUM(G17:G18)</f>
        <v>1041</v>
      </c>
      <c r="H16" s="887">
        <f>SUM(H17:H18)</f>
        <v>887</v>
      </c>
      <c r="I16" s="1620">
        <v>6213</v>
      </c>
      <c r="J16" s="2166">
        <v>9283</v>
      </c>
      <c r="K16" s="2166">
        <v>13834</v>
      </c>
      <c r="L16" s="2166">
        <v>14043</v>
      </c>
      <c r="M16" s="2166">
        <v>4926</v>
      </c>
      <c r="N16" s="2166">
        <v>8880</v>
      </c>
      <c r="O16" s="2166">
        <v>8845</v>
      </c>
      <c r="P16" s="2166">
        <v>13328</v>
      </c>
      <c r="Q16" s="2950">
        <v>13821</v>
      </c>
    </row>
    <row r="17" spans="1:17">
      <c r="A17" s="4429"/>
      <c r="B17" s="1799" t="s">
        <v>1044</v>
      </c>
      <c r="C17" s="1088">
        <v>577</v>
      </c>
      <c r="D17" s="788">
        <v>520</v>
      </c>
      <c r="E17" s="788">
        <v>623</v>
      </c>
      <c r="F17" s="788">
        <v>571</v>
      </c>
      <c r="G17" s="789">
        <v>725</v>
      </c>
      <c r="H17" s="888">
        <v>489</v>
      </c>
      <c r="I17" s="1621">
        <v>4654</v>
      </c>
      <c r="J17" s="2167">
        <v>6073</v>
      </c>
      <c r="K17" s="2167">
        <v>10568</v>
      </c>
      <c r="L17" s="2167">
        <v>11654</v>
      </c>
      <c r="M17" s="2167">
        <v>4308</v>
      </c>
      <c r="N17" s="2163" t="s">
        <v>24</v>
      </c>
      <c r="O17" s="2163" t="s">
        <v>24</v>
      </c>
      <c r="P17" s="2163">
        <v>10425</v>
      </c>
      <c r="Q17" s="2949">
        <v>11214</v>
      </c>
    </row>
    <row r="18" spans="1:17">
      <c r="A18" s="4429"/>
      <c r="B18" s="1798" t="s">
        <v>1045</v>
      </c>
      <c r="C18" s="1088">
        <v>304</v>
      </c>
      <c r="D18" s="788">
        <v>222</v>
      </c>
      <c r="E18" s="788">
        <v>284</v>
      </c>
      <c r="F18" s="790">
        <v>268</v>
      </c>
      <c r="G18" s="788">
        <v>316</v>
      </c>
      <c r="H18" s="880">
        <v>398</v>
      </c>
      <c r="I18" s="1619">
        <v>1559</v>
      </c>
      <c r="J18" s="2163">
        <v>3210</v>
      </c>
      <c r="K18" s="2163">
        <v>3266</v>
      </c>
      <c r="L18" s="2163">
        <v>2389</v>
      </c>
      <c r="M18" s="2163">
        <v>618</v>
      </c>
      <c r="N18" s="2163" t="s">
        <v>24</v>
      </c>
      <c r="O18" s="2163" t="s">
        <v>24</v>
      </c>
      <c r="P18" s="2163">
        <v>2903</v>
      </c>
      <c r="Q18" s="2949">
        <v>2607</v>
      </c>
    </row>
    <row r="19" spans="1:17">
      <c r="A19" s="4429"/>
      <c r="B19" s="1795" t="s">
        <v>150</v>
      </c>
      <c r="C19" s="1089" t="s">
        <v>24</v>
      </c>
      <c r="D19" s="791" t="s">
        <v>24</v>
      </c>
      <c r="E19" s="791" t="s">
        <v>24</v>
      </c>
      <c r="F19" s="791" t="s">
        <v>24</v>
      </c>
      <c r="G19" s="791" t="s">
        <v>24</v>
      </c>
      <c r="H19" s="889" t="s">
        <v>24</v>
      </c>
      <c r="I19" s="2157" t="s">
        <v>24</v>
      </c>
      <c r="J19" s="2168" t="s">
        <v>24</v>
      </c>
      <c r="K19" s="1159">
        <v>550</v>
      </c>
      <c r="L19" s="1159">
        <v>608</v>
      </c>
      <c r="M19" s="1159">
        <v>428</v>
      </c>
      <c r="N19" s="1159">
        <v>376</v>
      </c>
      <c r="O19" s="1159">
        <v>502</v>
      </c>
      <c r="P19" s="1159">
        <v>386</v>
      </c>
      <c r="Q19" s="1170">
        <v>440</v>
      </c>
    </row>
    <row r="20" spans="1:17">
      <c r="A20" s="4429"/>
      <c r="B20" s="1800" t="s">
        <v>1046</v>
      </c>
      <c r="C20" s="1090"/>
      <c r="D20" s="792"/>
      <c r="E20" s="792"/>
      <c r="F20" s="792"/>
      <c r="G20" s="792"/>
      <c r="H20" s="890">
        <f>'[2]Passengers (PAX), Air Traffi'!C36/H16</f>
        <v>195.13754227733935</v>
      </c>
      <c r="I20" s="1807">
        <f>'[2]Passengers (PAX), Air Traffi'!D36/I16</f>
        <v>29.084017382906808</v>
      </c>
      <c r="J20" s="2169">
        <f>'[2]Passengers (PAX), Air Traffi'!E36/J16</f>
        <v>20.64181837767963</v>
      </c>
      <c r="K20" s="2169">
        <f>'G4-AO1, 2, 3 - PAX, ATM, Cargo'!D19/K16</f>
        <v>14.702472170015902</v>
      </c>
      <c r="L20" s="2169">
        <f>'G4-AO1, 2, 3 - PAX, ATM, Cargo'!E19/L16</f>
        <v>13.809940895819981</v>
      </c>
      <c r="M20" s="2169">
        <f>'G4-AO1, 2, 3 - PAX, ATM, Cargo'!F19/M16</f>
        <v>11.507511165245635</v>
      </c>
      <c r="N20" s="2169">
        <f>'G4-AO1, 2, 3 - PAX, ATM, Cargo'!G19/N16</f>
        <v>13.051238738738739</v>
      </c>
      <c r="O20" s="2169">
        <f>'G4-AO1, 2, 3 - PAX, ATM, Cargo'!H19/O16</f>
        <v>21.054267947993218</v>
      </c>
      <c r="P20" s="2169">
        <f>'G4-AO1, 2, 3 - PAX, ATM, Cargo'!I19/P16</f>
        <v>14.891206482593038</v>
      </c>
      <c r="Q20" s="2174">
        <f>'G4-AO1, 2, 3 - PAX, ATM, Cargo'!J19/Q16</f>
        <v>14.724694305766587</v>
      </c>
    </row>
    <row r="21" spans="1:17" ht="15" thickBot="1">
      <c r="A21" s="4430"/>
      <c r="B21" s="1796" t="s">
        <v>1047</v>
      </c>
      <c r="C21" s="1091">
        <v>5.94</v>
      </c>
      <c r="D21" s="793">
        <v>5.18</v>
      </c>
      <c r="E21" s="794"/>
      <c r="F21" s="804">
        <v>5.74</v>
      </c>
      <c r="G21" s="781" t="e">
        <f>G16/('[2]Passengers (PAX), Air Traffi'!#REF!/1000)</f>
        <v>#REF!</v>
      </c>
      <c r="H21" s="891">
        <f>H16/('[2]Passengers (PAX), Air Traffi'!C36/1000)</f>
        <v>5.1245905238406122</v>
      </c>
      <c r="I21" s="1805">
        <f>I16/('[2]Passengers (PAX), Air Traffi'!D36/1000)</f>
        <v>34.383145451828732</v>
      </c>
      <c r="J21" s="2162">
        <f>J16/('[2]Passengers (PAX), Air Traffi'!E36/1000)</f>
        <v>48.445344383095538</v>
      </c>
      <c r="K21" s="2162">
        <f>K16/('G4-AO1, 2, 3 - PAX, ATM, Cargo'!D19/1000)</f>
        <v>68.015772343333623</v>
      </c>
      <c r="L21" s="2162">
        <f>L16/('G4-AO1, 2, 3 - PAX, ATM, Cargo'!E19/1000)</f>
        <v>72.411606070137623</v>
      </c>
      <c r="M21" s="2162">
        <f>M16/('G4-AO1, 2, 3 - PAX, ATM, Cargo'!F19/1000)</f>
        <v>86.89976361006245</v>
      </c>
      <c r="N21" s="2162">
        <f>N16/('G4-AO1, 2, 3 - PAX, ATM, Cargo'!G19/1000)</f>
        <v>76.621079425341904</v>
      </c>
      <c r="O21" s="2162">
        <f>O16/('G4-AO1, 2, 3 - PAX, ATM, Cargo'!H19/1000)</f>
        <v>47.496308229292524</v>
      </c>
      <c r="P21" s="2162">
        <f>P16/('G4-AO1, 2, 3 - PAX, ATM, Cargo'!I19/1000)</f>
        <v>67.153726003930061</v>
      </c>
      <c r="Q21" s="1804">
        <f>Q16/('G4-AO1, 2, 3 - PAX, ATM, Cargo'!J19/1000)</f>
        <v>67.91312466217876</v>
      </c>
    </row>
    <row r="22" spans="1:17">
      <c r="A22" s="4419" t="s">
        <v>887</v>
      </c>
      <c r="B22" s="1797" t="s">
        <v>1043</v>
      </c>
      <c r="C22" s="1092"/>
      <c r="D22" s="795"/>
      <c r="E22" s="796"/>
      <c r="F22" s="797"/>
      <c r="G22" s="795">
        <f>G23+G25</f>
        <v>2650</v>
      </c>
      <c r="H22" s="892">
        <f>H23+H25</f>
        <v>1912</v>
      </c>
      <c r="I22" s="2158">
        <f>I23+I24</f>
        <v>7654</v>
      </c>
      <c r="J22" s="2170">
        <f t="shared" ref="J22:M22" si="0">J23+J24</f>
        <v>10178</v>
      </c>
      <c r="K22" s="2170">
        <f t="shared" si="0"/>
        <v>14684</v>
      </c>
      <c r="L22" s="2170">
        <f t="shared" si="0"/>
        <v>15253</v>
      </c>
      <c r="M22" s="2170">
        <f t="shared" si="0"/>
        <v>6842</v>
      </c>
      <c r="N22" s="2170">
        <f>SUM(N4,N10,N16)</f>
        <v>15685</v>
      </c>
      <c r="O22" s="2170">
        <f>SUM(O4,O10,O16)</f>
        <v>15438</v>
      </c>
      <c r="P22" s="2170">
        <f>SUM(P4,P10,P16)</f>
        <v>17939</v>
      </c>
      <c r="Q22" s="2153">
        <f>SUM(Q4,Q10,Q16)</f>
        <v>15309</v>
      </c>
    </row>
    <row r="23" spans="1:17">
      <c r="A23" s="4420"/>
      <c r="B23" s="1799" t="s">
        <v>1044</v>
      </c>
      <c r="C23" s="1093"/>
      <c r="D23" s="798"/>
      <c r="E23" s="799"/>
      <c r="F23" s="800"/>
      <c r="G23" s="801">
        <f>G5+G11+G17</f>
        <v>1603</v>
      </c>
      <c r="H23" s="886">
        <f>H5+H11+H17</f>
        <v>1182</v>
      </c>
      <c r="I23" s="1808">
        <f t="shared" ref="I23:L23" si="1">I5+I11+I17</f>
        <v>5709</v>
      </c>
      <c r="J23" s="2171">
        <f t="shared" si="1"/>
        <v>6676</v>
      </c>
      <c r="K23" s="2171">
        <f t="shared" si="1"/>
        <v>11136</v>
      </c>
      <c r="L23" s="2171">
        <f t="shared" si="1"/>
        <v>12477</v>
      </c>
      <c r="M23" s="2171">
        <f>M5+M11+M17</f>
        <v>5056</v>
      </c>
      <c r="N23" s="2171" t="s">
        <v>24</v>
      </c>
      <c r="O23" s="2171" t="s">
        <v>24</v>
      </c>
      <c r="P23" s="2171" t="s">
        <v>24</v>
      </c>
      <c r="Q23" s="2154">
        <v>12193</v>
      </c>
    </row>
    <row r="24" spans="1:17">
      <c r="A24" s="4420"/>
      <c r="B24" s="1798" t="s">
        <v>1045</v>
      </c>
      <c r="C24" s="1093"/>
      <c r="D24" s="798"/>
      <c r="E24" s="799"/>
      <c r="F24" s="800"/>
      <c r="G24" s="802"/>
      <c r="H24" s="886"/>
      <c r="I24" s="1808">
        <f t="shared" ref="I24:J24" si="2">I6+I12+I18</f>
        <v>1945</v>
      </c>
      <c r="J24" s="2171">
        <f t="shared" si="2"/>
        <v>3502</v>
      </c>
      <c r="K24" s="2171">
        <f>K6+K12+K18</f>
        <v>3548</v>
      </c>
      <c r="L24" s="2171">
        <f t="shared" ref="L24:M24" si="3">L6+L12+L18</f>
        <v>2776</v>
      </c>
      <c r="M24" s="2171">
        <f t="shared" si="3"/>
        <v>1786</v>
      </c>
      <c r="N24" s="2171" t="s">
        <v>24</v>
      </c>
      <c r="O24" s="2171" t="s">
        <v>24</v>
      </c>
      <c r="P24" s="2171" t="s">
        <v>24</v>
      </c>
      <c r="Q24" s="2154">
        <v>3116</v>
      </c>
    </row>
    <row r="25" spans="1:17">
      <c r="A25" s="4420"/>
      <c r="B25" s="1799" t="s">
        <v>150</v>
      </c>
      <c r="C25" s="1093"/>
      <c r="D25" s="798"/>
      <c r="E25" s="799"/>
      <c r="F25" s="800"/>
      <c r="G25" s="801">
        <f>G6+G12+G18</f>
        <v>1047</v>
      </c>
      <c r="H25" s="886">
        <f>H6+H12+H18</f>
        <v>730</v>
      </c>
      <c r="I25" s="1808" t="s">
        <v>24</v>
      </c>
      <c r="J25" s="2171" t="s">
        <v>24</v>
      </c>
      <c r="K25" s="2171">
        <f t="shared" ref="K25:P25" si="4">K7+K13+K19</f>
        <v>717</v>
      </c>
      <c r="L25" s="2171">
        <f t="shared" si="4"/>
        <v>823</v>
      </c>
      <c r="M25" s="2171">
        <f t="shared" si="4"/>
        <v>789</v>
      </c>
      <c r="N25" s="2171">
        <f t="shared" si="4"/>
        <v>1436</v>
      </c>
      <c r="O25" s="2171">
        <f t="shared" si="4"/>
        <v>1533</v>
      </c>
      <c r="P25" s="2171">
        <f t="shared" si="4"/>
        <v>1209</v>
      </c>
      <c r="Q25" s="2154">
        <f t="shared" ref="Q25" si="5">Q7+Q13+Q19</f>
        <v>1244</v>
      </c>
    </row>
    <row r="26" spans="1:17">
      <c r="A26" s="4420"/>
      <c r="B26" s="1798" t="s">
        <v>1046</v>
      </c>
      <c r="C26" s="1094"/>
      <c r="D26" s="803"/>
      <c r="E26" s="803"/>
      <c r="F26" s="803"/>
      <c r="G26" s="803"/>
      <c r="H26" s="890">
        <f>('[2]Passengers (PAX), Air Traffi'!C38/H22)</f>
        <v>222.78294979079499</v>
      </c>
      <c r="I26" s="1803">
        <f>('[2]Passengers (PAX), Air Traffi'!D38/I22)</f>
        <v>59.085184217402663</v>
      </c>
      <c r="J26" s="2161">
        <f>('[2]Passengers (PAX), Air Traffi'!E38/J22)</f>
        <v>46.226861858911377</v>
      </c>
      <c r="K26" s="2161">
        <f>('[2]Passengers (PAX), Air Traffi'!F38/K22)</f>
        <v>32.841528193952598</v>
      </c>
      <c r="L26" s="2161">
        <f>('[2]Passengers (PAX), Air Traffi'!G38/L22)</f>
        <v>30.415065888677638</v>
      </c>
      <c r="M26" s="2161">
        <f>('[2]Passengers (PAX), Air Traffi'!H38/M22)</f>
        <v>20.352382344343759</v>
      </c>
      <c r="N26" s="2172">
        <f>'G4-AO1, 2, 3 - PAX, ATM, Cargo'!G20/'GRESB RC7 - Noise Complaints'!N22</f>
        <v>16.768759961746891</v>
      </c>
      <c r="O26" s="2172">
        <f>'G4-AO1, 2, 3 - PAX, ATM, Cargo'!H20/'GRESB RC7 - Noise Complaints'!O22</f>
        <v>27.048775748153904</v>
      </c>
      <c r="P26" s="2172">
        <f>'G4-AO1, 2, 3 - PAX, ATM, Cargo'!I20/'GRESB RC7 - Noise Complaints'!P22</f>
        <v>25.040247505435087</v>
      </c>
      <c r="Q26" s="2172">
        <f>'G4-AO1, 2, 3 - PAX, ATM, Cargo'!J20/'GRESB RC7 - Noise Complaints'!Q22</f>
        <v>30.351819191325365</v>
      </c>
    </row>
    <row r="27" spans="1:17" ht="15" thickBot="1">
      <c r="A27" s="4421"/>
      <c r="B27" s="1796" t="s">
        <v>1047</v>
      </c>
      <c r="C27" s="1629"/>
      <c r="D27" s="782"/>
      <c r="E27" s="1630"/>
      <c r="F27" s="781">
        <v>8.07</v>
      </c>
      <c r="G27" s="781">
        <v>7.93</v>
      </c>
      <c r="H27" s="891">
        <f>H22/('[2]Passengers (PAX), Air Traffi'!C38/1000)</f>
        <v>4.4886738457276607</v>
      </c>
      <c r="I27" s="1805">
        <f>I22/('[2]Passengers (PAX), Air Traffi'!D38/1000)</f>
        <v>16.92471663150819</v>
      </c>
      <c r="J27" s="2162">
        <f>J22/('[2]Passengers (PAX), Air Traffi'!E38/1000)</f>
        <v>21.632443990078574</v>
      </c>
      <c r="K27" s="2162">
        <f>K22/('[2]Passengers (PAX), Air Traffi'!F38/1000)</f>
        <v>30.449252973073854</v>
      </c>
      <c r="L27" s="2162">
        <f>L22/('[2]Passengers (PAX), Air Traffi'!G38/1000)</f>
        <v>32.878442665884926</v>
      </c>
      <c r="M27" s="2162">
        <f>M22/('[2]Passengers (PAX), Air Traffi'!H38/1000)</f>
        <v>49.134297060703332</v>
      </c>
      <c r="N27" s="2162">
        <f t="shared" ref="N27:P27" si="6">SUM(N9,N15,N21)</f>
        <v>161.07929781832252</v>
      </c>
      <c r="O27" s="2162">
        <f t="shared" si="6"/>
        <v>135.95766059283764</v>
      </c>
      <c r="P27" s="2162">
        <f t="shared" si="6"/>
        <v>122.05543542025775</v>
      </c>
      <c r="Q27" s="1804">
        <f t="shared" ref="Q27" si="7">SUM(Q9,Q15,Q21)</f>
        <v>82.355691542913291</v>
      </c>
    </row>
  </sheetData>
  <mergeCells count="6">
    <mergeCell ref="A22:A27"/>
    <mergeCell ref="A2:E2"/>
    <mergeCell ref="A1:B1"/>
    <mergeCell ref="A4:A9"/>
    <mergeCell ref="A10:A15"/>
    <mergeCell ref="A16:A21"/>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05F3D-2BFF-4E26-8C73-05C3455D886D}">
  <sheetPr codeName="Sheet33">
    <tabColor theme="0"/>
  </sheetPr>
  <dimension ref="A1:I24"/>
  <sheetViews>
    <sheetView showGridLines="0" workbookViewId="0"/>
  </sheetViews>
  <sheetFormatPr defaultColWidth="8.85546875" defaultRowHeight="13.9"/>
  <cols>
    <col min="1" max="1" width="30.42578125" style="8" customWidth="1"/>
    <col min="2" max="2" width="31.42578125" style="8" customWidth="1"/>
    <col min="3" max="9" width="9.85546875" style="8" bestFit="1" customWidth="1"/>
    <col min="10" max="12" width="8.85546875" style="8"/>
    <col min="13" max="13" width="24.42578125" style="8" customWidth="1"/>
    <col min="14" max="16384" width="8.85546875" style="8"/>
  </cols>
  <sheetData>
    <row r="1" spans="1:9" ht="17.45">
      <c r="A1" s="10" t="s">
        <v>1048</v>
      </c>
    </row>
    <row r="2" spans="1:9" ht="17.45">
      <c r="A2" s="10" t="s">
        <v>1049</v>
      </c>
    </row>
    <row r="3" spans="1:9" ht="18" thickBot="1">
      <c r="A3" s="10"/>
    </row>
    <row r="4" spans="1:9" ht="14.45" thickBot="1">
      <c r="A4" s="2649" t="s">
        <v>788</v>
      </c>
      <c r="B4" s="2650" t="s">
        <v>162</v>
      </c>
      <c r="C4" s="1877">
        <v>2018</v>
      </c>
      <c r="D4" s="1739">
        <v>2019</v>
      </c>
      <c r="E4" s="1739">
        <v>2020</v>
      </c>
      <c r="F4" s="1739">
        <v>2021</v>
      </c>
      <c r="G4" s="1739">
        <v>2022</v>
      </c>
      <c r="H4" s="1739">
        <v>2023</v>
      </c>
      <c r="I4" s="2041">
        <v>2024</v>
      </c>
    </row>
    <row r="5" spans="1:9">
      <c r="A5" s="4431" t="s">
        <v>274</v>
      </c>
      <c r="B5" s="1812" t="s">
        <v>1050</v>
      </c>
      <c r="C5" s="1627">
        <v>27</v>
      </c>
      <c r="D5" s="1270">
        <v>35</v>
      </c>
      <c r="E5" s="1270">
        <v>13</v>
      </c>
      <c r="F5" s="1271">
        <v>14</v>
      </c>
      <c r="G5" s="1270">
        <v>30</v>
      </c>
      <c r="H5" s="1270">
        <v>16</v>
      </c>
      <c r="I5" s="3027">
        <v>17</v>
      </c>
    </row>
    <row r="6" spans="1:9">
      <c r="A6" s="4431"/>
      <c r="B6" s="1813" t="s">
        <v>1051</v>
      </c>
      <c r="C6" s="1628">
        <v>0</v>
      </c>
      <c r="D6" s="1272">
        <v>2</v>
      </c>
      <c r="E6" s="1272">
        <v>3</v>
      </c>
      <c r="F6" s="1273">
        <v>3</v>
      </c>
      <c r="G6" s="1272">
        <v>1</v>
      </c>
      <c r="H6" s="1272">
        <v>1</v>
      </c>
      <c r="I6" s="3028">
        <v>1</v>
      </c>
    </row>
    <row r="7" spans="1:9">
      <c r="A7" s="4431"/>
      <c r="B7" s="1813" t="s">
        <v>1052</v>
      </c>
      <c r="C7" s="1818">
        <f>'G4-AO1, 2, 3 - PAX, ATM, Cargo'!D13</f>
        <v>76923</v>
      </c>
      <c r="D7" s="1819">
        <f>'G4-AO1, 2, 3 - PAX, ATM, Cargo'!E13</f>
        <v>74181</v>
      </c>
      <c r="E7" s="1819">
        <f>'G4-AO1, 2, 3 - PAX, ATM, Cargo'!F13</f>
        <v>45295</v>
      </c>
      <c r="F7" s="1819">
        <f>'G4-AO1, 2, 3 - PAX, ATM, Cargo'!G13</f>
        <v>88174</v>
      </c>
      <c r="G7" s="1819">
        <f>'G4-AO1, 2, 3 - PAX, ATM, Cargo'!H13</f>
        <v>64655</v>
      </c>
      <c r="H7" s="1819">
        <f>'G4-AO1, 2, 3 - PAX, ATM, Cargo'!I13</f>
        <v>66926</v>
      </c>
      <c r="I7" s="1831">
        <f>'G4-AO1, 2, 3 - PAX, ATM, Cargo'!J13</f>
        <v>61799</v>
      </c>
    </row>
    <row r="8" spans="1:9" ht="12.4" customHeight="1">
      <c r="A8" s="4431"/>
      <c r="B8" s="1814" t="s">
        <v>1053</v>
      </c>
      <c r="C8" s="1820">
        <f t="shared" ref="C8:F8" si="0">SUM(C5/C7)*10000</f>
        <v>3.5100035100035099</v>
      </c>
      <c r="D8" s="1821">
        <f t="shared" si="0"/>
        <v>4.7181892937544658</v>
      </c>
      <c r="E8" s="1821">
        <f t="shared" si="0"/>
        <v>2.8700739595981895</v>
      </c>
      <c r="F8" s="1821">
        <f t="shared" si="0"/>
        <v>1.5877696373080499</v>
      </c>
      <c r="G8" s="1821">
        <f>SUM(G5/G7)*10000</f>
        <v>4.6400123733663285</v>
      </c>
      <c r="H8" s="1821">
        <f>SUM(H5/H7)*10000</f>
        <v>2.3907001763141378</v>
      </c>
      <c r="I8" s="2175">
        <f>SUM(I5/I7)*10000</f>
        <v>2.7508535736824222</v>
      </c>
    </row>
    <row r="9" spans="1:9" ht="13.5" customHeight="1" thickBot="1">
      <c r="A9" s="4432"/>
      <c r="B9" s="1815" t="s">
        <v>1054</v>
      </c>
      <c r="C9" s="1822">
        <f>SUM(C5+C6)/C7*10000</f>
        <v>3.5100035100035099</v>
      </c>
      <c r="D9" s="1822">
        <f t="shared" ref="D9:F9" si="1">SUM(D5+D6)/D7*10000</f>
        <v>4.9878001105404355</v>
      </c>
      <c r="E9" s="1822">
        <f t="shared" si="1"/>
        <v>3.5323987195054642</v>
      </c>
      <c r="F9" s="1822">
        <f t="shared" si="1"/>
        <v>1.9280059881597749</v>
      </c>
      <c r="G9" s="1822">
        <f>SUM(G5+G6)/G7*10000</f>
        <v>4.7946794524785394</v>
      </c>
      <c r="H9" s="1822">
        <f>SUM(H5+H6)/H7*10000</f>
        <v>2.540118937333772</v>
      </c>
      <c r="I9" s="2176">
        <f>SUM(I5+I6)/I7*10000</f>
        <v>2.9126684897813879</v>
      </c>
    </row>
    <row r="10" spans="1:9">
      <c r="A10" s="4431" t="s">
        <v>279</v>
      </c>
      <c r="B10" s="1812" t="s">
        <v>1050</v>
      </c>
      <c r="C10" s="1627">
        <v>98</v>
      </c>
      <c r="D10" s="1270">
        <v>154</v>
      </c>
      <c r="E10" s="1270">
        <v>48</v>
      </c>
      <c r="F10" s="1271">
        <v>45</v>
      </c>
      <c r="G10" s="1270">
        <v>58</v>
      </c>
      <c r="H10" s="1270">
        <v>94</v>
      </c>
      <c r="I10" s="3016">
        <v>60</v>
      </c>
    </row>
    <row r="11" spans="1:9">
      <c r="A11" s="4431"/>
      <c r="B11" s="1813" t="s">
        <v>1051</v>
      </c>
      <c r="C11" s="1628">
        <v>0</v>
      </c>
      <c r="D11" s="1272">
        <v>0</v>
      </c>
      <c r="E11" s="1272">
        <v>0</v>
      </c>
      <c r="F11" s="1273">
        <v>0</v>
      </c>
      <c r="G11" s="1272">
        <v>0</v>
      </c>
      <c r="H11" s="1272">
        <v>1</v>
      </c>
      <c r="I11" s="3017">
        <v>1</v>
      </c>
    </row>
    <row r="12" spans="1:9">
      <c r="A12" s="4431"/>
      <c r="B12" s="1813" t="s">
        <v>1052</v>
      </c>
      <c r="C12" s="1818">
        <f>'G4-AO1, 2, 3 - PAX, ATM, Cargo'!D16</f>
        <v>201928</v>
      </c>
      <c r="D12" s="1819">
        <f>'G4-AO1, 2, 3 - PAX, ATM, Cargo'!E16</f>
        <v>195807</v>
      </c>
      <c r="E12" s="1819">
        <f>'G4-AO1, 2, 3 - PAX, ATM, Cargo'!F16</f>
        <v>37270</v>
      </c>
      <c r="F12" s="1819">
        <f>'G4-AO1, 2, 3 - PAX, ATM, Cargo'!G16</f>
        <v>58949</v>
      </c>
      <c r="G12" s="1819">
        <f>'G4-AO1, 2, 3 - PAX, ATM, Cargo'!H16</f>
        <v>166699</v>
      </c>
      <c r="H12" s="1819">
        <f>'G4-AO1, 2, 3 - PAX, ATM, Cargo'!I16</f>
        <v>183801</v>
      </c>
      <c r="I12" s="1831">
        <f>'G4-AO1, 2, 3 - PAX, ATM, Cargo'!J16</f>
        <v>199347</v>
      </c>
    </row>
    <row r="13" spans="1:9" ht="14.25" customHeight="1">
      <c r="A13" s="4431"/>
      <c r="B13" s="1814" t="s">
        <v>1053</v>
      </c>
      <c r="C13" s="1820">
        <f t="shared" ref="C13:F13" si="2">SUM(C10/C12)*10000</f>
        <v>4.8532150073293456</v>
      </c>
      <c r="D13" s="1821">
        <f t="shared" si="2"/>
        <v>7.8648873635773997</v>
      </c>
      <c r="E13" s="1821">
        <f t="shared" si="2"/>
        <v>12.878991145693586</v>
      </c>
      <c r="F13" s="1821">
        <f t="shared" si="2"/>
        <v>7.6337172810395426</v>
      </c>
      <c r="G13" s="1821">
        <f>SUM(G10/G12)*10000</f>
        <v>3.4793250109478757</v>
      </c>
      <c r="H13" s="1821">
        <f>SUM(H10/H12)*10000</f>
        <v>5.1142267996365636</v>
      </c>
      <c r="I13" s="2175">
        <f>SUM(I10/I12)*10000</f>
        <v>3.0098270854339417</v>
      </c>
    </row>
    <row r="14" spans="1:9" ht="16.5" customHeight="1" thickBot="1">
      <c r="A14" s="4432"/>
      <c r="B14" s="1815" t="s">
        <v>1054</v>
      </c>
      <c r="C14" s="1822">
        <f t="shared" ref="C14:F14" si="3">SUM(C10+C11)/C12*10000</f>
        <v>4.8532150073293456</v>
      </c>
      <c r="D14" s="1822">
        <f t="shared" si="3"/>
        <v>7.8648873635773997</v>
      </c>
      <c r="E14" s="1822">
        <f t="shared" si="3"/>
        <v>12.878991145693586</v>
      </c>
      <c r="F14" s="1822">
        <f t="shared" si="3"/>
        <v>7.6337172810395426</v>
      </c>
      <c r="G14" s="1822">
        <f>SUM(G10+G11)/G12*10000</f>
        <v>3.4793250109478757</v>
      </c>
      <c r="H14" s="1822">
        <f>SUM(H10+H11)/H12*10000</f>
        <v>5.1686334677178039</v>
      </c>
      <c r="I14" s="2176">
        <f>SUM(I10+I11)/I12*10000</f>
        <v>3.0599908701911742</v>
      </c>
    </row>
    <row r="15" spans="1:9">
      <c r="A15" s="4433" t="s">
        <v>278</v>
      </c>
      <c r="B15" s="1812" t="s">
        <v>1050</v>
      </c>
      <c r="C15" s="1627">
        <v>24</v>
      </c>
      <c r="D15" s="1270">
        <v>37</v>
      </c>
      <c r="E15" s="1270">
        <v>24</v>
      </c>
      <c r="F15" s="1271">
        <v>36</v>
      </c>
      <c r="G15" s="1270">
        <v>66</v>
      </c>
      <c r="H15" s="1270">
        <v>86</v>
      </c>
      <c r="I15" s="3016">
        <v>120</v>
      </c>
    </row>
    <row r="16" spans="1:9">
      <c r="A16" s="4434"/>
      <c r="B16" s="1813" t="s">
        <v>1051</v>
      </c>
      <c r="C16" s="1628">
        <v>4</v>
      </c>
      <c r="D16" s="1272">
        <v>3</v>
      </c>
      <c r="E16" s="1272">
        <v>1</v>
      </c>
      <c r="F16" s="1273">
        <v>0</v>
      </c>
      <c r="G16" s="1272">
        <v>2</v>
      </c>
      <c r="H16" s="1272">
        <v>3</v>
      </c>
      <c r="I16" s="3017">
        <v>1</v>
      </c>
    </row>
    <row r="17" spans="1:9">
      <c r="A17" s="4434"/>
      <c r="B17" s="1813" t="s">
        <v>1052</v>
      </c>
      <c r="C17" s="1818">
        <f>'G4-AO1, 2, 3 - PAX, ATM, Cargo'!D19</f>
        <v>203394</v>
      </c>
      <c r="D17" s="1819">
        <f>'G4-AO1, 2, 3 - PAX, ATM, Cargo'!E19</f>
        <v>193933</v>
      </c>
      <c r="E17" s="1819">
        <f>'G4-AO1, 2, 3 - PAX, ATM, Cargo'!F19</f>
        <v>56686</v>
      </c>
      <c r="F17" s="1819">
        <f>'G4-AO1, 2, 3 - PAX, ATM, Cargo'!G19</f>
        <v>115895</v>
      </c>
      <c r="G17" s="1819">
        <f>'G4-AO1, 2, 3 - PAX, ATM, Cargo'!H19</f>
        <v>186225</v>
      </c>
      <c r="H17" s="1819">
        <f>'G4-AO1, 2, 3 - PAX, ATM, Cargo'!I19</f>
        <v>198470</v>
      </c>
      <c r="I17" s="1831">
        <f>'G4-AO1, 2, 3 - PAX, ATM, Cargo'!J19</f>
        <v>203510</v>
      </c>
    </row>
    <row r="18" spans="1:9">
      <c r="A18" s="4434"/>
      <c r="B18" s="1814" t="s">
        <v>1053</v>
      </c>
      <c r="C18" s="1820">
        <f t="shared" ref="C18:F18" si="4">SUM(C15/C17)*10000</f>
        <v>1.1799758104958848</v>
      </c>
      <c r="D18" s="1821">
        <f t="shared" si="4"/>
        <v>1.9078754002671028</v>
      </c>
      <c r="E18" s="1821">
        <f t="shared" si="4"/>
        <v>4.2338496277740534</v>
      </c>
      <c r="F18" s="1821">
        <f t="shared" si="4"/>
        <v>3.1062599767030501</v>
      </c>
      <c r="G18" s="1821">
        <f>SUM(G15/G17)*10000</f>
        <v>3.5440998791784133</v>
      </c>
      <c r="H18" s="1821">
        <f>SUM(H15/H17)*10000</f>
        <v>4.3331485866881643</v>
      </c>
      <c r="I18" s="2175">
        <f>SUM(I15/I17)*10000</f>
        <v>5.8965161417129375</v>
      </c>
    </row>
    <row r="19" spans="1:9" ht="18" customHeight="1" thickBot="1">
      <c r="A19" s="4435"/>
      <c r="B19" s="1815" t="s">
        <v>1054</v>
      </c>
      <c r="C19" s="1822">
        <f t="shared" ref="C19:F19" si="5">SUM(C15+C16)/C17*10000</f>
        <v>1.3766384455785323</v>
      </c>
      <c r="D19" s="1822">
        <f t="shared" si="5"/>
        <v>2.0625680002887594</v>
      </c>
      <c r="E19" s="1822">
        <f t="shared" si="5"/>
        <v>4.4102600289313054</v>
      </c>
      <c r="F19" s="1822">
        <f t="shared" si="5"/>
        <v>3.1062599767030501</v>
      </c>
      <c r="G19" s="1822">
        <f>SUM(G15+G16)/G17*10000</f>
        <v>3.6514968452141225</v>
      </c>
      <c r="H19" s="1822">
        <f>SUM(H15+H16)/H17*10000</f>
        <v>4.4843049327354256</v>
      </c>
      <c r="I19" s="2176">
        <f>SUM(I15+I16)/I17*10000</f>
        <v>5.9456537762272124</v>
      </c>
    </row>
    <row r="20" spans="1:9">
      <c r="A20" s="4431" t="s">
        <v>1055</v>
      </c>
      <c r="B20" s="1816" t="s">
        <v>1050</v>
      </c>
      <c r="C20" s="1823">
        <f t="shared" ref="C20:H20" si="6">SUM(C5,C10,C15)</f>
        <v>149</v>
      </c>
      <c r="D20" s="1824">
        <f t="shared" si="6"/>
        <v>226</v>
      </c>
      <c r="E20" s="1824">
        <f t="shared" si="6"/>
        <v>85</v>
      </c>
      <c r="F20" s="1825">
        <f t="shared" si="6"/>
        <v>95</v>
      </c>
      <c r="G20" s="1824">
        <f t="shared" si="6"/>
        <v>154</v>
      </c>
      <c r="H20" s="1824">
        <f t="shared" si="6"/>
        <v>196</v>
      </c>
      <c r="I20" s="3025">
        <f>SUM(I5,I10,I15)</f>
        <v>197</v>
      </c>
    </row>
    <row r="21" spans="1:9">
      <c r="A21" s="4431"/>
      <c r="B21" s="1813" t="s">
        <v>1051</v>
      </c>
      <c r="C21" s="1826">
        <f t="shared" ref="C21:H22" si="7">SUM(C11,C6,C16)</f>
        <v>4</v>
      </c>
      <c r="D21" s="1827">
        <f t="shared" si="7"/>
        <v>5</v>
      </c>
      <c r="E21" s="1827">
        <f t="shared" si="7"/>
        <v>4</v>
      </c>
      <c r="F21" s="1828">
        <f t="shared" si="7"/>
        <v>3</v>
      </c>
      <c r="G21" s="1827">
        <f t="shared" si="7"/>
        <v>3</v>
      </c>
      <c r="H21" s="1827">
        <f t="shared" si="7"/>
        <v>5</v>
      </c>
      <c r="I21" s="3026">
        <f>SUM(I6,I11,I16)</f>
        <v>3</v>
      </c>
    </row>
    <row r="22" spans="1:9">
      <c r="A22" s="4431"/>
      <c r="B22" s="1813" t="s">
        <v>1052</v>
      </c>
      <c r="C22" s="1829">
        <f t="shared" si="7"/>
        <v>482245</v>
      </c>
      <c r="D22" s="1819">
        <f t="shared" si="7"/>
        <v>463921</v>
      </c>
      <c r="E22" s="1830">
        <f t="shared" si="7"/>
        <v>139251</v>
      </c>
      <c r="F22" s="1819">
        <f t="shared" si="7"/>
        <v>263018</v>
      </c>
      <c r="G22" s="1819">
        <f t="shared" si="7"/>
        <v>417579</v>
      </c>
      <c r="H22" s="1819">
        <f t="shared" si="7"/>
        <v>449197</v>
      </c>
      <c r="I22" s="1831">
        <f t="shared" ref="I22" si="8">SUM(I12,I7,I17)</f>
        <v>464656</v>
      </c>
    </row>
    <row r="23" spans="1:9">
      <c r="A23" s="4431"/>
      <c r="B23" s="1817" t="s">
        <v>1053</v>
      </c>
      <c r="C23" s="1821">
        <f t="shared" ref="C23:F23" si="9">SUM(C20/C22)*10000</f>
        <v>3.0897158083546747</v>
      </c>
      <c r="D23" s="1821">
        <f t="shared" si="9"/>
        <v>4.8715190732904956</v>
      </c>
      <c r="E23" s="1821">
        <f t="shared" si="9"/>
        <v>6.1040854284708912</v>
      </c>
      <c r="F23" s="1821">
        <f t="shared" si="9"/>
        <v>3.6119200967234177</v>
      </c>
      <c r="G23" s="1821">
        <f>SUM(G20/G22)*10000</f>
        <v>3.6879249195960528</v>
      </c>
      <c r="H23" s="1821">
        <f>SUM(H20/H22)*10000</f>
        <v>4.3633416964049179</v>
      </c>
      <c r="I23" s="2175">
        <f>SUM(I20/I22)*10000</f>
        <v>4.2396956027685002</v>
      </c>
    </row>
    <row r="24" spans="1:9" ht="15" customHeight="1" thickBot="1">
      <c r="A24" s="4432"/>
      <c r="B24" s="1815" t="s">
        <v>1054</v>
      </c>
      <c r="C24" s="1822">
        <f t="shared" ref="C24:F24" si="10">SUM(C20+C21)/C22*10000</f>
        <v>3.1726611991829876</v>
      </c>
      <c r="D24" s="1822">
        <f t="shared" si="10"/>
        <v>4.9792960439385148</v>
      </c>
      <c r="E24" s="1822">
        <f t="shared" si="10"/>
        <v>6.3913365074577557</v>
      </c>
      <c r="F24" s="1822">
        <f t="shared" si="10"/>
        <v>3.7259807313567892</v>
      </c>
      <c r="G24" s="1822">
        <f>SUM(G20+G21)/G22*10000</f>
        <v>3.7597676128349371</v>
      </c>
      <c r="H24" s="1822">
        <f>SUM(H20+H21)/H22*10000</f>
        <v>4.4746514335581047</v>
      </c>
      <c r="I24" s="2176">
        <f>SUM(I20+I21)/I22*10000</f>
        <v>4.3042594951964466</v>
      </c>
    </row>
  </sheetData>
  <mergeCells count="4">
    <mergeCell ref="A5:A9"/>
    <mergeCell ref="A10:A14"/>
    <mergeCell ref="A15:A19"/>
    <mergeCell ref="A20:A24"/>
  </mergeCells>
  <pageMargins left="0.25" right="0.25" top="0.75" bottom="0.75" header="0.3" footer="0.3"/>
  <pageSetup paperSize="8" orientation="landscape" r:id="rId1"/>
  <headerFooter>
    <oddFooter>&amp;C_x000D_&amp;1#&amp;"Calibri"&amp;10&amp;K000000 C2 - Internal</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26CB4-BD9A-4471-95E8-F5E281449EF9}">
  <sheetPr codeName="Sheet34">
    <tabColor theme="0"/>
  </sheetPr>
  <dimension ref="A1:L10"/>
  <sheetViews>
    <sheetView showGridLines="0" workbookViewId="0"/>
  </sheetViews>
  <sheetFormatPr defaultColWidth="9" defaultRowHeight="13.9"/>
  <cols>
    <col min="1" max="1" width="24.5703125" style="8" customWidth="1"/>
    <col min="2" max="16384" width="9" style="8"/>
  </cols>
  <sheetData>
    <row r="1" spans="1:12" ht="17.45">
      <c r="A1" s="10" t="s">
        <v>1056</v>
      </c>
    </row>
    <row r="2" spans="1:12" ht="17.45">
      <c r="A2" s="10" t="s">
        <v>1057</v>
      </c>
    </row>
    <row r="3" spans="1:12" ht="14.45" thickBot="1">
      <c r="B3" s="136"/>
      <c r="C3" s="136"/>
      <c r="D3" s="136"/>
      <c r="E3" s="136"/>
      <c r="F3" s="136"/>
      <c r="G3" s="136"/>
      <c r="H3" s="136"/>
      <c r="I3" s="136"/>
      <c r="J3" s="136"/>
      <c r="K3" s="136"/>
      <c r="L3" s="136"/>
    </row>
    <row r="4" spans="1:12" ht="14.45" thickBot="1">
      <c r="A4" s="1615"/>
      <c r="B4" s="2654" t="s">
        <v>879</v>
      </c>
      <c r="C4" s="2655" t="s">
        <v>9</v>
      </c>
      <c r="D4" s="2655" t="s">
        <v>10</v>
      </c>
      <c r="E4" s="2655" t="s">
        <v>11</v>
      </c>
      <c r="F4" s="2655" t="s">
        <v>12</v>
      </c>
      <c r="G4" s="2655" t="s">
        <v>13</v>
      </c>
      <c r="H4" s="2655" t="s">
        <v>14</v>
      </c>
      <c r="I4" s="2656" t="s">
        <v>15</v>
      </c>
      <c r="J4" s="2655" t="s">
        <v>16</v>
      </c>
      <c r="K4" s="2657" t="s">
        <v>163</v>
      </c>
      <c r="L4" s="2658" t="s">
        <v>164</v>
      </c>
    </row>
    <row r="5" spans="1:12" ht="42.4" customHeight="1" thickBot="1">
      <c r="A5" s="2651" t="s">
        <v>165</v>
      </c>
      <c r="B5" s="745">
        <v>0.51</v>
      </c>
      <c r="C5" s="746">
        <v>0.56000000000000005</v>
      </c>
      <c r="D5" s="746">
        <v>0.55000000000000004</v>
      </c>
      <c r="E5" s="746" t="s">
        <v>1058</v>
      </c>
      <c r="F5" s="746" t="s">
        <v>1058</v>
      </c>
      <c r="G5" s="747">
        <v>0.59</v>
      </c>
      <c r="H5" s="746" t="s">
        <v>1058</v>
      </c>
      <c r="I5" s="748">
        <v>0.44</v>
      </c>
      <c r="J5" s="746">
        <v>0.6</v>
      </c>
      <c r="K5" s="2177">
        <v>0.62</v>
      </c>
      <c r="L5" s="2899">
        <v>0.7</v>
      </c>
    </row>
    <row r="6" spans="1:12" ht="42.4" customHeight="1" thickBot="1">
      <c r="A6" s="2651" t="s">
        <v>175</v>
      </c>
      <c r="B6" s="745">
        <v>0.48</v>
      </c>
      <c r="C6" s="746">
        <v>0.48</v>
      </c>
      <c r="D6" s="746">
        <v>0.54</v>
      </c>
      <c r="E6" s="746" t="s">
        <v>1058</v>
      </c>
      <c r="F6" s="746" t="s">
        <v>1058</v>
      </c>
      <c r="G6" s="747">
        <v>0.57999999999999996</v>
      </c>
      <c r="H6" s="746" t="s">
        <v>1058</v>
      </c>
      <c r="I6" s="748">
        <v>0.59</v>
      </c>
      <c r="J6" s="746">
        <v>0.62</v>
      </c>
      <c r="K6" s="2177">
        <v>0.63</v>
      </c>
      <c r="L6" s="2899">
        <v>0.72</v>
      </c>
    </row>
    <row r="7" spans="1:12" ht="42.4" customHeight="1" thickBot="1">
      <c r="A7" s="2652" t="s">
        <v>172</v>
      </c>
      <c r="B7" s="749">
        <v>0.44</v>
      </c>
      <c r="C7" s="750">
        <v>0.42</v>
      </c>
      <c r="D7" s="750">
        <v>0.43</v>
      </c>
      <c r="E7" s="750" t="s">
        <v>1058</v>
      </c>
      <c r="F7" s="750" t="s">
        <v>1058</v>
      </c>
      <c r="G7" s="751">
        <v>0.53</v>
      </c>
      <c r="H7" s="750" t="s">
        <v>1058</v>
      </c>
      <c r="I7" s="750">
        <v>0.51</v>
      </c>
      <c r="J7" s="752">
        <v>0.67</v>
      </c>
      <c r="K7" s="2178">
        <v>0.67</v>
      </c>
      <c r="L7" s="2900">
        <v>0.76</v>
      </c>
    </row>
    <row r="8" spans="1:12" ht="42.4" customHeight="1" thickBot="1">
      <c r="A8" s="2653" t="s">
        <v>183</v>
      </c>
      <c r="B8" s="745">
        <v>0.52</v>
      </c>
      <c r="C8" s="746">
        <v>0.53</v>
      </c>
      <c r="D8" s="746">
        <v>0.55000000000000004</v>
      </c>
      <c r="E8" s="746" t="s">
        <v>1058</v>
      </c>
      <c r="F8" s="746" t="s">
        <v>1058</v>
      </c>
      <c r="G8" s="747">
        <v>0.55000000000000004</v>
      </c>
      <c r="H8" s="746" t="s">
        <v>1058</v>
      </c>
      <c r="I8" s="746">
        <v>0.55000000000000004</v>
      </c>
      <c r="J8" s="746">
        <v>0.64</v>
      </c>
      <c r="K8" s="2177">
        <v>0.66</v>
      </c>
      <c r="L8" s="2899">
        <v>0.73</v>
      </c>
    </row>
    <row r="10" spans="1:12">
      <c r="J10" s="211"/>
      <c r="K10" s="211"/>
      <c r="L10" s="211"/>
    </row>
  </sheetData>
  <phoneticPr fontId="16" type="noConversion"/>
  <pageMargins left="0.7" right="0.7" top="0.75" bottom="0.75" header="0.3" footer="0.3"/>
  <headerFooter>
    <oddFooter>&amp;C_x000D_&amp;1#&amp;"Calibri"&amp;10&amp;K000000 C2 - Internal</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0D426-5703-4050-8A0F-FB40DE046FA6}">
  <sheetPr>
    <tabColor theme="0"/>
  </sheetPr>
  <dimension ref="B1:F9"/>
  <sheetViews>
    <sheetView workbookViewId="0"/>
  </sheetViews>
  <sheetFormatPr defaultRowHeight="14.45"/>
  <cols>
    <col min="1" max="1" width="3.28515625" customWidth="1"/>
    <col min="2" max="2" width="7.28515625" customWidth="1"/>
    <col min="3" max="3" width="14.28515625" customWidth="1"/>
    <col min="4" max="5" width="11.85546875" bestFit="1" customWidth="1"/>
    <col min="6" max="6" width="11.5703125" customWidth="1"/>
  </cols>
  <sheetData>
    <row r="1" spans="2:6" ht="17.45">
      <c r="B1" s="10" t="s">
        <v>904</v>
      </c>
    </row>
    <row r="2" spans="2:6" ht="17.45">
      <c r="B2" s="10" t="s">
        <v>1059</v>
      </c>
    </row>
    <row r="3" spans="2:6">
      <c r="B3" s="203"/>
    </row>
    <row r="4" spans="2:6" ht="15" thickBot="1"/>
    <row r="5" spans="2:6" ht="15" thickBot="1">
      <c r="B5" s="6"/>
      <c r="C5" s="6"/>
      <c r="D5" s="2179" t="s">
        <v>1060</v>
      </c>
      <c r="E5" s="2184" t="s">
        <v>1061</v>
      </c>
      <c r="F5" s="1832" t="s">
        <v>1062</v>
      </c>
    </row>
    <row r="6" spans="2:6">
      <c r="B6" s="4436" t="s">
        <v>183</v>
      </c>
      <c r="C6" s="1833" t="s">
        <v>1063</v>
      </c>
      <c r="D6" s="2180">
        <v>1</v>
      </c>
      <c r="E6" s="2185">
        <v>1</v>
      </c>
      <c r="F6" s="3042">
        <v>1</v>
      </c>
    </row>
    <row r="7" spans="2:6">
      <c r="B7" s="4437"/>
      <c r="C7" s="1834" t="s">
        <v>1064</v>
      </c>
      <c r="D7" s="2181">
        <v>163356</v>
      </c>
      <c r="E7" s="1744">
        <v>160498</v>
      </c>
      <c r="F7" s="3043">
        <v>153487</v>
      </c>
    </row>
    <row r="8" spans="2:6">
      <c r="B8" s="4437"/>
      <c r="C8" s="1834" t="s">
        <v>1065</v>
      </c>
      <c r="D8" s="2182">
        <f>'G4-AO1, 2, 3 - PAX, ATM, Cargo'!H8</f>
        <v>54080803</v>
      </c>
      <c r="E8" s="2186">
        <f>'G4-AO1, 2, 3 - PAX, ATM, Cargo'!I8</f>
        <v>61327371</v>
      </c>
      <c r="F8" s="1837">
        <f>'G4-AO1, 2, 3 - PAX, ATM, Cargo'!J8</f>
        <v>65043687</v>
      </c>
    </row>
    <row r="9" spans="2:6" ht="15" thickBot="1">
      <c r="B9" s="4438"/>
      <c r="C9" s="1835" t="s">
        <v>1066</v>
      </c>
      <c r="D9" s="2183">
        <f>D7/D8</f>
        <v>3.0205912438097489E-3</v>
      </c>
      <c r="E9" s="2187">
        <f>E7/E8</f>
        <v>2.6170696278501812E-3</v>
      </c>
      <c r="F9" s="1836">
        <f>F7/F8</f>
        <v>2.359752453762346E-3</v>
      </c>
    </row>
  </sheetData>
  <mergeCells count="1">
    <mergeCell ref="B6:B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BC622-AA53-4B72-94B6-6E345E5F8ACC}">
  <sheetPr codeName="Sheet6" filterMode="1">
    <tabColor rgb="FFFFFF00"/>
    <pageSetUpPr fitToPage="1"/>
  </sheetPr>
  <dimension ref="A1:R112"/>
  <sheetViews>
    <sheetView topLeftCell="B33" zoomScale="60" zoomScaleNormal="60" workbookViewId="0">
      <selection activeCell="N50" sqref="N50"/>
    </sheetView>
  </sheetViews>
  <sheetFormatPr defaultColWidth="8.5703125" defaultRowHeight="23.45"/>
  <cols>
    <col min="1" max="1" width="42.42578125" style="230" customWidth="1"/>
    <col min="2" max="2" width="18.42578125" style="437" customWidth="1"/>
    <col min="3" max="3" width="79.42578125" style="440" customWidth="1"/>
    <col min="4" max="4" width="10.42578125" style="224" customWidth="1"/>
    <col min="5" max="5" width="74.5703125" style="438" customWidth="1"/>
    <col min="6" max="7" width="23" style="439" customWidth="1"/>
    <col min="8" max="10" width="12.5703125" style="439" hidden="1" customWidth="1"/>
    <col min="11" max="11" width="30" style="439" customWidth="1"/>
    <col min="12" max="13" width="30" style="230" customWidth="1"/>
    <col min="14" max="15" width="30" style="850" customWidth="1"/>
    <col min="16" max="16" width="24" style="454" customWidth="1"/>
    <col min="17" max="17" width="33.42578125" style="230" customWidth="1"/>
    <col min="18" max="18" width="37.5703125" style="230" customWidth="1"/>
    <col min="19" max="19" width="38.5703125" style="230" customWidth="1"/>
    <col min="20" max="16384" width="8.5703125" style="230"/>
  </cols>
  <sheetData>
    <row r="1" spans="1:18" ht="39" customHeight="1">
      <c r="A1" s="221" t="s">
        <v>2</v>
      </c>
      <c r="B1" s="222"/>
      <c r="C1" s="223"/>
      <c r="E1" s="225"/>
      <c r="F1" s="226"/>
      <c r="G1" s="226"/>
      <c r="H1" s="227"/>
      <c r="I1" s="226"/>
      <c r="J1" s="226"/>
      <c r="K1" s="226"/>
      <c r="L1" s="228"/>
      <c r="M1" s="228"/>
      <c r="N1" s="809"/>
      <c r="O1" s="809"/>
      <c r="P1" s="229"/>
    </row>
    <row r="2" spans="1:18" ht="69.75" customHeight="1">
      <c r="A2" s="231" t="s">
        <v>3</v>
      </c>
      <c r="B2" s="232"/>
      <c r="C2" s="231" t="s">
        <v>4</v>
      </c>
      <c r="D2" s="233" t="s">
        <v>5</v>
      </c>
      <c r="E2" s="231" t="s">
        <v>6</v>
      </c>
      <c r="F2" s="234" t="s">
        <v>7</v>
      </c>
      <c r="G2" s="234" t="s">
        <v>8</v>
      </c>
      <c r="H2" s="234" t="s">
        <v>9</v>
      </c>
      <c r="I2" s="234" t="s">
        <v>10</v>
      </c>
      <c r="J2" s="234" t="s">
        <v>11</v>
      </c>
      <c r="K2" s="234" t="s">
        <v>12</v>
      </c>
      <c r="L2" s="234" t="s">
        <v>13</v>
      </c>
      <c r="M2" s="234" t="s">
        <v>14</v>
      </c>
      <c r="N2" s="810" t="s">
        <v>15</v>
      </c>
      <c r="O2" s="810" t="s">
        <v>16</v>
      </c>
      <c r="P2" s="235" t="s">
        <v>17</v>
      </c>
      <c r="Q2" s="234" t="s">
        <v>18</v>
      </c>
    </row>
    <row r="3" spans="1:18" s="244" customFormat="1" ht="39.6">
      <c r="A3" s="3435" t="s">
        <v>19</v>
      </c>
      <c r="B3" s="3438" t="s">
        <v>20</v>
      </c>
      <c r="C3" s="236" t="s">
        <v>21</v>
      </c>
      <c r="D3" s="237">
        <v>2020</v>
      </c>
      <c r="E3" s="238" t="s">
        <v>22</v>
      </c>
      <c r="F3" s="239" t="s">
        <v>23</v>
      </c>
      <c r="G3" s="239" t="s">
        <v>23</v>
      </c>
      <c r="H3" s="237" t="s">
        <v>24</v>
      </c>
      <c r="I3" s="237" t="s">
        <v>24</v>
      </c>
      <c r="J3" s="237" t="s">
        <v>24</v>
      </c>
      <c r="K3" s="237" t="s">
        <v>24</v>
      </c>
      <c r="L3" s="237" t="s">
        <v>24</v>
      </c>
      <c r="M3" s="240" t="s">
        <v>25</v>
      </c>
      <c r="N3" s="811"/>
      <c r="O3" s="811"/>
      <c r="P3" s="241">
        <v>1</v>
      </c>
      <c r="Q3" s="242"/>
      <c r="R3" s="243"/>
    </row>
    <row r="4" spans="1:18" s="244" customFormat="1" ht="29.45">
      <c r="A4" s="3436"/>
      <c r="B4" s="3439"/>
      <c r="C4" s="3441" t="s">
        <v>26</v>
      </c>
      <c r="D4" s="245">
        <v>2038</v>
      </c>
      <c r="E4" s="246" t="s">
        <v>22</v>
      </c>
      <c r="F4" s="247" t="s">
        <v>23</v>
      </c>
      <c r="G4" s="247" t="s">
        <v>23</v>
      </c>
      <c r="H4" s="245" t="s">
        <v>24</v>
      </c>
      <c r="I4" s="245" t="s">
        <v>24</v>
      </c>
      <c r="J4" s="245" t="s">
        <v>24</v>
      </c>
      <c r="K4" s="245" t="s">
        <v>24</v>
      </c>
      <c r="L4" s="245" t="s">
        <v>24</v>
      </c>
      <c r="M4" s="248" t="s">
        <v>27</v>
      </c>
      <c r="N4" s="812"/>
      <c r="O4" s="812"/>
      <c r="P4" s="248" t="s">
        <v>24</v>
      </c>
      <c r="Q4" s="249"/>
      <c r="R4" s="243"/>
    </row>
    <row r="5" spans="1:18" s="244" customFormat="1" ht="39.6">
      <c r="A5" s="3436"/>
      <c r="B5" s="3439"/>
      <c r="C5" s="3442"/>
      <c r="D5" s="250" t="s">
        <v>24</v>
      </c>
      <c r="E5" s="251" t="s">
        <v>28</v>
      </c>
      <c r="F5" s="247" t="s">
        <v>29</v>
      </c>
      <c r="G5" s="247" t="s">
        <v>29</v>
      </c>
      <c r="H5" s="252" t="s">
        <v>30</v>
      </c>
      <c r="I5" s="252" t="s">
        <v>30</v>
      </c>
      <c r="J5" s="252" t="s">
        <v>30</v>
      </c>
      <c r="K5" s="252">
        <f>[1]Emissions!S8</f>
        <v>113410174.70222235</v>
      </c>
      <c r="L5" s="252">
        <f>[1]Emissions!R8</f>
        <v>115371711.90000001</v>
      </c>
      <c r="M5" s="252">
        <v>103744860</v>
      </c>
      <c r="N5" s="813">
        <v>119047411</v>
      </c>
      <c r="O5" s="813">
        <v>121791858</v>
      </c>
      <c r="P5" s="254">
        <f>(O5-N5)/N5</f>
        <v>2.3053395088113257E-2</v>
      </c>
      <c r="Q5" s="262"/>
      <c r="R5" s="243"/>
    </row>
    <row r="6" spans="1:18" s="244" customFormat="1" ht="39.6">
      <c r="A6" s="3436"/>
      <c r="B6" s="3439"/>
      <c r="C6" s="3442"/>
      <c r="D6" s="250"/>
      <c r="E6" s="256" t="s">
        <v>31</v>
      </c>
      <c r="F6" s="247" t="s">
        <v>23</v>
      </c>
      <c r="G6" s="247" t="s">
        <v>29</v>
      </c>
      <c r="H6" s="252" t="s">
        <v>30</v>
      </c>
      <c r="I6" s="252" t="s">
        <v>30</v>
      </c>
      <c r="J6" s="252" t="s">
        <v>30</v>
      </c>
      <c r="K6" s="258">
        <f>SUM(1/[1]Energy!AS31)*[1]Energy!AS30</f>
        <v>0.57878637328262128</v>
      </c>
      <c r="L6" s="258">
        <f>SUM(1/[1]Energy!AR31)*[1]Energy!AR30</f>
        <v>0.61226227558524371</v>
      </c>
      <c r="M6" s="258">
        <f>SUM(1/[1]Energy!AQ31)*[1]Energy!AQ30</f>
        <v>0.56200185917575241</v>
      </c>
      <c r="N6" s="721">
        <v>0.56599999999999995</v>
      </c>
      <c r="O6" s="721">
        <v>0.56000000000000005</v>
      </c>
      <c r="P6" s="254">
        <f t="shared" ref="P6:P16" si="0">(O6-N6)/N6</f>
        <v>-1.0600706713780732E-2</v>
      </c>
      <c r="Q6" s="255"/>
      <c r="R6" s="243"/>
    </row>
    <row r="7" spans="1:18" s="244" customFormat="1" ht="39.6">
      <c r="A7" s="3436"/>
      <c r="B7" s="3439"/>
      <c r="C7" s="3442"/>
      <c r="D7" s="250"/>
      <c r="E7" s="256" t="s">
        <v>32</v>
      </c>
      <c r="F7" s="247" t="s">
        <v>23</v>
      </c>
      <c r="G7" s="247" t="s">
        <v>29</v>
      </c>
      <c r="H7" s="252" t="s">
        <v>30</v>
      </c>
      <c r="I7" s="252" t="s">
        <v>30</v>
      </c>
      <c r="J7" s="252" t="s">
        <v>30</v>
      </c>
      <c r="K7" s="252">
        <f>[1]Emissions!$S$14</f>
        <v>28251.791649061175</v>
      </c>
      <c r="L7" s="252">
        <f>[1]Emissions!$R$14</f>
        <v>27336.754749591972</v>
      </c>
      <c r="M7" s="252">
        <v>22240</v>
      </c>
      <c r="N7" s="813">
        <v>24305</v>
      </c>
      <c r="O7" s="813">
        <v>23424</v>
      </c>
      <c r="P7" s="254">
        <f t="shared" si="0"/>
        <v>-3.6247685661386544E-2</v>
      </c>
      <c r="Q7" s="262"/>
      <c r="R7" s="243"/>
    </row>
    <row r="8" spans="1:18" s="244" customFormat="1" ht="39.6">
      <c r="A8" s="3436"/>
      <c r="B8" s="3439"/>
      <c r="C8" s="3442"/>
      <c r="D8" s="250"/>
      <c r="E8" s="256" t="s">
        <v>33</v>
      </c>
      <c r="F8" s="247" t="s">
        <v>29</v>
      </c>
      <c r="G8" s="247" t="s">
        <v>29</v>
      </c>
      <c r="H8" s="252" t="s">
        <v>30</v>
      </c>
      <c r="I8" s="252" t="s">
        <v>30</v>
      </c>
      <c r="J8" s="252" t="s">
        <v>30</v>
      </c>
      <c r="K8" s="252">
        <f>[1]Emissions!$S$15</f>
        <v>9629.7473562104169</v>
      </c>
      <c r="L8" s="252">
        <f>[1]Emissions!$R$15</f>
        <v>8937.7547495919735</v>
      </c>
      <c r="M8" s="252">
        <v>8564</v>
      </c>
      <c r="N8" s="813">
        <v>10415</v>
      </c>
      <c r="O8" s="813">
        <v>10065</v>
      </c>
      <c r="P8" s="254">
        <f t="shared" si="0"/>
        <v>-3.3605376860297645E-2</v>
      </c>
      <c r="Q8" s="262"/>
      <c r="R8" s="243"/>
    </row>
    <row r="9" spans="1:18" s="244" customFormat="1" ht="39.6">
      <c r="A9" s="3436"/>
      <c r="B9" s="3439"/>
      <c r="C9" s="3442"/>
      <c r="D9" s="250" t="s">
        <v>24</v>
      </c>
      <c r="E9" s="260" t="s">
        <v>34</v>
      </c>
      <c r="F9" s="247" t="s">
        <v>29</v>
      </c>
      <c r="G9" s="247" t="s">
        <v>29</v>
      </c>
      <c r="H9" s="252" t="s">
        <v>30</v>
      </c>
      <c r="I9" s="252" t="s">
        <v>30</v>
      </c>
      <c r="J9" s="252" t="s">
        <v>30</v>
      </c>
      <c r="K9" s="261">
        <f>[1]Emissions!S18</f>
        <v>0.32369574357200587</v>
      </c>
      <c r="L9" s="261">
        <f>[1]Emissions!R18</f>
        <v>0.30500324666375966</v>
      </c>
      <c r="M9" s="655">
        <v>2.64</v>
      </c>
      <c r="N9" s="814">
        <v>1.07</v>
      </c>
      <c r="O9" s="814">
        <v>0.39</v>
      </c>
      <c r="P9" s="254">
        <f t="shared" si="0"/>
        <v>-0.63551401869158874</v>
      </c>
      <c r="Q9" s="255"/>
      <c r="R9" s="243"/>
    </row>
    <row r="10" spans="1:18" s="244" customFormat="1" ht="39.6">
      <c r="A10" s="3436"/>
      <c r="B10" s="3439"/>
      <c r="C10" s="3442"/>
      <c r="D10" s="250"/>
      <c r="E10" s="263" t="s">
        <v>35</v>
      </c>
      <c r="F10" s="247" t="s">
        <v>29</v>
      </c>
      <c r="G10" s="247" t="s">
        <v>29</v>
      </c>
      <c r="H10" s="252" t="s">
        <v>30</v>
      </c>
      <c r="I10" s="252" t="s">
        <v>30</v>
      </c>
      <c r="J10" s="252" t="s">
        <v>30</v>
      </c>
      <c r="K10" s="252">
        <f>[1]Emissions!$S$19</f>
        <v>9629.7473562104169</v>
      </c>
      <c r="L10" s="252">
        <f>[1]Emissions!$R$19</f>
        <v>8937.7547495919735</v>
      </c>
      <c r="M10" s="252">
        <f>[1]Emissions!$Q$19</f>
        <v>8566</v>
      </c>
      <c r="N10" s="813">
        <v>10415</v>
      </c>
      <c r="O10" s="813">
        <v>10065</v>
      </c>
      <c r="P10" s="254">
        <f t="shared" si="0"/>
        <v>-3.3605376860297645E-2</v>
      </c>
      <c r="Q10" s="255"/>
      <c r="R10" s="243"/>
    </row>
    <row r="11" spans="1:18" s="244" customFormat="1" ht="40.15" thickBot="1">
      <c r="A11" s="3436"/>
      <c r="B11" s="3439"/>
      <c r="C11" s="3442"/>
      <c r="D11" s="250" t="s">
        <v>24</v>
      </c>
      <c r="E11" s="265" t="s">
        <v>36</v>
      </c>
      <c r="F11" s="247" t="s">
        <v>29</v>
      </c>
      <c r="G11" s="247" t="s">
        <v>29</v>
      </c>
      <c r="H11" s="252" t="s">
        <v>30</v>
      </c>
      <c r="I11" s="252" t="s">
        <v>30</v>
      </c>
      <c r="J11" s="252" t="s">
        <v>30</v>
      </c>
      <c r="K11" s="252">
        <f>[1]Emissions!S21</f>
        <v>0</v>
      </c>
      <c r="L11" s="252">
        <f>[1]Emissions!R21</f>
        <v>0</v>
      </c>
      <c r="M11" s="252">
        <f>[1]Emissions!Q21</f>
        <v>0</v>
      </c>
      <c r="N11" s="813">
        <v>0</v>
      </c>
      <c r="O11" s="813">
        <v>0</v>
      </c>
      <c r="P11" s="254" t="e">
        <f t="shared" si="0"/>
        <v>#DIV/0!</v>
      </c>
      <c r="Q11" s="278"/>
      <c r="R11" s="243"/>
    </row>
    <row r="12" spans="1:18" s="244" customFormat="1" ht="39.6">
      <c r="A12" s="3436"/>
      <c r="B12" s="3439"/>
      <c r="C12" s="3441" t="s">
        <v>37</v>
      </c>
      <c r="D12" s="3443">
        <v>2022</v>
      </c>
      <c r="E12" s="266" t="s">
        <v>38</v>
      </c>
      <c r="F12" s="247" t="s">
        <v>23</v>
      </c>
      <c r="G12" s="247" t="s">
        <v>29</v>
      </c>
      <c r="H12" s="267">
        <v>1</v>
      </c>
      <c r="I12" s="267">
        <v>1</v>
      </c>
      <c r="J12" s="267">
        <v>1</v>
      </c>
      <c r="K12" s="267">
        <v>1</v>
      </c>
      <c r="L12" s="267">
        <v>1</v>
      </c>
      <c r="M12" s="267">
        <v>1</v>
      </c>
      <c r="N12" s="815">
        <v>1</v>
      </c>
      <c r="O12" s="815">
        <v>1</v>
      </c>
      <c r="P12" s="254">
        <f t="shared" si="0"/>
        <v>0</v>
      </c>
      <c r="Q12" s="278"/>
      <c r="R12" s="243"/>
    </row>
    <row r="13" spans="1:18" s="244" customFormat="1" ht="39.6">
      <c r="A13" s="3436"/>
      <c r="B13" s="3439"/>
      <c r="C13" s="3441"/>
      <c r="D13" s="3443"/>
      <c r="E13" s="266" t="s">
        <v>39</v>
      </c>
      <c r="F13" s="247" t="s">
        <v>23</v>
      </c>
      <c r="G13" s="247" t="s">
        <v>29</v>
      </c>
      <c r="H13" s="455">
        <v>0</v>
      </c>
      <c r="I13" s="455">
        <v>0</v>
      </c>
      <c r="J13" s="455">
        <v>0</v>
      </c>
      <c r="K13" s="455">
        <v>0</v>
      </c>
      <c r="L13" s="455">
        <v>0</v>
      </c>
      <c r="M13" s="455">
        <v>0</v>
      </c>
      <c r="N13" s="816">
        <v>0</v>
      </c>
      <c r="O13" s="816">
        <v>0</v>
      </c>
      <c r="P13" s="254" t="e">
        <f t="shared" si="0"/>
        <v>#DIV/0!</v>
      </c>
      <c r="Q13" s="278"/>
      <c r="R13" s="243"/>
    </row>
    <row r="14" spans="1:18" s="244" customFormat="1" ht="29.45">
      <c r="A14" s="3436"/>
      <c r="B14" s="3439"/>
      <c r="C14" s="3441"/>
      <c r="D14" s="3443"/>
      <c r="E14" s="251" t="s">
        <v>41</v>
      </c>
      <c r="F14" s="247" t="s">
        <v>23</v>
      </c>
      <c r="G14" s="247" t="s">
        <v>29</v>
      </c>
      <c r="H14" s="269">
        <f>'[1]Water&amp;effluents'!F13</f>
        <v>0.98</v>
      </c>
      <c r="I14" s="269">
        <f>'[1]Water&amp;effluents'!G13</f>
        <v>0.98</v>
      </c>
      <c r="J14" s="269">
        <f>'[1]Water&amp;effluents'!H13</f>
        <v>0.94499999999999995</v>
      </c>
      <c r="K14" s="269">
        <f>'[1]Water&amp;effluents'!I13</f>
        <v>0.97101449275362317</v>
      </c>
      <c r="L14" s="269">
        <f>'[1]Water&amp;effluents'!L13</f>
        <v>0.94400000000000006</v>
      </c>
      <c r="M14" s="269">
        <v>0.88800000000000001</v>
      </c>
      <c r="N14" s="817">
        <v>0.95099999999999996</v>
      </c>
      <c r="O14" s="817">
        <v>0.95299999999999996</v>
      </c>
      <c r="P14" s="254">
        <f t="shared" si="0"/>
        <v>2.1030494216614111E-3</v>
      </c>
      <c r="Q14" s="268"/>
      <c r="R14" s="243"/>
    </row>
    <row r="15" spans="1:18" s="244" customFormat="1" ht="29.45">
      <c r="A15" s="3436"/>
      <c r="B15" s="3439"/>
      <c r="C15" s="3442"/>
      <c r="D15" s="3444"/>
      <c r="E15" s="266" t="s">
        <v>42</v>
      </c>
      <c r="F15" s="247" t="s">
        <v>23</v>
      </c>
      <c r="G15" s="247" t="s">
        <v>29</v>
      </c>
      <c r="H15" s="269">
        <f>'[1]Water&amp;effluents'!F16</f>
        <v>0.80400000000000005</v>
      </c>
      <c r="I15" s="269">
        <f>'[1]Water&amp;effluents'!G16</f>
        <v>0.97</v>
      </c>
      <c r="J15" s="269">
        <f>'[1]Water&amp;effluents'!H16</f>
        <v>1</v>
      </c>
      <c r="K15" s="269">
        <f>'[1]Water&amp;effluents'!I16</f>
        <v>0.97199999999999998</v>
      </c>
      <c r="L15" s="269">
        <f>'[1]Water&amp;effluents'!L16</f>
        <v>1</v>
      </c>
      <c r="M15" s="269">
        <f>'[1]Water&amp;effluents'!O16</f>
        <v>1</v>
      </c>
      <c r="N15" s="817">
        <v>1</v>
      </c>
      <c r="O15" s="817">
        <v>1</v>
      </c>
      <c r="P15" s="254">
        <f t="shared" si="0"/>
        <v>0</v>
      </c>
      <c r="Q15" s="268"/>
      <c r="R15" s="243"/>
    </row>
    <row r="16" spans="1:18" s="244" customFormat="1" ht="29.45">
      <c r="A16" s="3436"/>
      <c r="B16" s="3439"/>
      <c r="C16" s="3442"/>
      <c r="D16" s="3444"/>
      <c r="E16" s="270" t="s">
        <v>43</v>
      </c>
      <c r="F16" s="247" t="s">
        <v>23</v>
      </c>
      <c r="G16" s="247" t="s">
        <v>29</v>
      </c>
      <c r="H16" s="271">
        <f>'[1]Air Quality Monitoring'!H15</f>
        <v>0</v>
      </c>
      <c r="I16" s="271">
        <f>'[1]Air Quality Monitoring'!I19</f>
        <v>0</v>
      </c>
      <c r="J16" s="271">
        <f>'[1]Air Quality Monitoring'!J19</f>
        <v>0</v>
      </c>
      <c r="K16" s="271">
        <f>'[1]Air Quality Monitoring'!K19</f>
        <v>1</v>
      </c>
      <c r="L16" s="271">
        <f>'[1]Air Quality Monitoring'!N19</f>
        <v>1</v>
      </c>
      <c r="M16" s="272">
        <f>'[1]Air Quality Monitoring'!Q19</f>
        <v>1</v>
      </c>
      <c r="N16" s="818">
        <v>0</v>
      </c>
      <c r="O16" s="818">
        <v>1</v>
      </c>
      <c r="P16" s="254" t="e">
        <f t="shared" si="0"/>
        <v>#DIV/0!</v>
      </c>
      <c r="Q16" s="268"/>
      <c r="R16" s="243"/>
    </row>
    <row r="17" spans="1:18" s="244" customFormat="1" ht="79.150000000000006">
      <c r="A17" s="3437"/>
      <c r="B17" s="3440"/>
      <c r="C17" s="273" t="s">
        <v>44</v>
      </c>
      <c r="D17" s="245">
        <v>2020</v>
      </c>
      <c r="E17" s="246" t="s">
        <v>22</v>
      </c>
      <c r="F17" s="247" t="s">
        <v>23</v>
      </c>
      <c r="G17" s="247" t="s">
        <v>23</v>
      </c>
      <c r="H17" s="245" t="s">
        <v>24</v>
      </c>
      <c r="I17" s="245" t="s">
        <v>24</v>
      </c>
      <c r="J17" s="245" t="s">
        <v>24</v>
      </c>
      <c r="K17" s="245" t="s">
        <v>24</v>
      </c>
      <c r="L17" s="245" t="s">
        <v>24</v>
      </c>
      <c r="M17" s="248" t="s">
        <v>45</v>
      </c>
      <c r="N17" s="812"/>
      <c r="O17" s="812"/>
      <c r="P17" s="274" t="s">
        <v>24</v>
      </c>
      <c r="Q17" s="249"/>
      <c r="R17" s="243"/>
    </row>
    <row r="18" spans="1:18" s="244" customFormat="1" ht="79.150000000000006">
      <c r="A18" s="3437"/>
      <c r="B18" s="3440"/>
      <c r="C18" s="273" t="s">
        <v>46</v>
      </c>
      <c r="D18" s="245">
        <v>2021</v>
      </c>
      <c r="E18" s="246" t="s">
        <v>22</v>
      </c>
      <c r="F18" s="247" t="s">
        <v>23</v>
      </c>
      <c r="G18" s="247" t="s">
        <v>23</v>
      </c>
      <c r="H18" s="245" t="s">
        <v>24</v>
      </c>
      <c r="I18" s="245" t="s">
        <v>24</v>
      </c>
      <c r="J18" s="245" t="s">
        <v>24</v>
      </c>
      <c r="K18" s="245" t="s">
        <v>24</v>
      </c>
      <c r="L18" s="245" t="s">
        <v>24</v>
      </c>
      <c r="M18" s="248" t="s">
        <v>45</v>
      </c>
      <c r="N18" s="812"/>
      <c r="O18" s="812"/>
      <c r="P18" s="274" t="s">
        <v>24</v>
      </c>
      <c r="Q18" s="249"/>
      <c r="R18" s="243"/>
    </row>
    <row r="19" spans="1:18" s="244" customFormat="1" ht="29.45">
      <c r="A19" s="3437"/>
      <c r="B19" s="3440"/>
      <c r="C19" s="3441" t="s">
        <v>47</v>
      </c>
      <c r="D19" s="3443">
        <v>2021</v>
      </c>
      <c r="E19" s="251" t="s">
        <v>48</v>
      </c>
      <c r="F19" s="247" t="s">
        <v>23</v>
      </c>
      <c r="G19" s="247" t="s">
        <v>29</v>
      </c>
      <c r="H19" s="275">
        <f>'[1]Waste Performance'!AL6</f>
        <v>8370.1</v>
      </c>
      <c r="I19" s="275">
        <f>'[1]Waste Performance'!AM6</f>
        <v>8618</v>
      </c>
      <c r="J19" s="275">
        <f>'[1]Waste Performance'!AN6</f>
        <v>8675</v>
      </c>
      <c r="K19" s="275">
        <f>'[1]Waste Performance'!AO6</f>
        <v>9053.5314999999937</v>
      </c>
      <c r="L19" s="275">
        <f>'[1]Waste Performance'!AR6</f>
        <v>9092.8188999999948</v>
      </c>
      <c r="M19" s="276">
        <f>'[1]Waste Performance'!AU6</f>
        <v>1929</v>
      </c>
      <c r="N19" s="819">
        <v>3456</v>
      </c>
      <c r="O19" s="819">
        <v>7549</v>
      </c>
      <c r="P19" s="254">
        <f t="shared" ref="P19:P22" si="1">(O19-N19)/N19</f>
        <v>1.1843171296296295</v>
      </c>
      <c r="Q19" s="278"/>
      <c r="R19" s="243"/>
    </row>
    <row r="20" spans="1:18" s="244" customFormat="1" ht="29.45">
      <c r="A20" s="3437"/>
      <c r="B20" s="3440"/>
      <c r="C20" s="3441"/>
      <c r="D20" s="3443"/>
      <c r="E20" s="251" t="s">
        <v>156</v>
      </c>
      <c r="F20" s="247" t="s">
        <v>23</v>
      </c>
      <c r="G20" s="247" t="s">
        <v>29</v>
      </c>
      <c r="H20" s="275" t="s">
        <v>50</v>
      </c>
      <c r="I20" s="275" t="s">
        <v>50</v>
      </c>
      <c r="J20" s="275" t="s">
        <v>50</v>
      </c>
      <c r="K20" s="279">
        <f>SUM(K19/([1]Emissions!S16))</f>
        <v>0.30432673905562846</v>
      </c>
      <c r="L20" s="279">
        <f>SUM(L19/([1]Emissions!R16))</f>
        <v>0.31029485184209182</v>
      </c>
      <c r="M20" s="477">
        <f>SUM(M19/([1]Emissions!Q16))</f>
        <v>0.59554719642066567</v>
      </c>
      <c r="N20" s="820">
        <v>0.35</v>
      </c>
      <c r="O20" s="820">
        <v>0.28999999999999998</v>
      </c>
      <c r="P20" s="254">
        <f t="shared" si="1"/>
        <v>-0.17142857142857143</v>
      </c>
      <c r="Q20" s="278"/>
      <c r="R20" s="243"/>
    </row>
    <row r="21" spans="1:18" s="244" customFormat="1" ht="29.45">
      <c r="A21" s="3437"/>
      <c r="B21" s="3440"/>
      <c r="C21" s="3441"/>
      <c r="D21" s="3443"/>
      <c r="E21" s="251" t="s">
        <v>51</v>
      </c>
      <c r="F21" s="247" t="s">
        <v>23</v>
      </c>
      <c r="G21" s="247" t="s">
        <v>29</v>
      </c>
      <c r="H21" s="267" t="s">
        <v>24</v>
      </c>
      <c r="I21" s="267" t="s">
        <v>24</v>
      </c>
      <c r="J21" s="267" t="s">
        <v>24</v>
      </c>
      <c r="K21" s="267" t="s">
        <v>24</v>
      </c>
      <c r="L21" s="267" t="s">
        <v>24</v>
      </c>
      <c r="M21" s="281">
        <f>'[1]Waste Performance'!AU26</f>
        <v>0.26948807672369096</v>
      </c>
      <c r="N21" s="815">
        <v>0.27200000000000002</v>
      </c>
      <c r="O21" s="815">
        <v>0.22700000000000001</v>
      </c>
      <c r="P21" s="254">
        <f t="shared" si="1"/>
        <v>-0.16544117647058826</v>
      </c>
      <c r="Q21" s="262"/>
      <c r="R21" s="243"/>
    </row>
    <row r="22" spans="1:18" s="244" customFormat="1" ht="29.45">
      <c r="A22" s="3437"/>
      <c r="B22" s="3440"/>
      <c r="C22" s="3441"/>
      <c r="D22" s="3443"/>
      <c r="E22" s="266" t="s">
        <v>52</v>
      </c>
      <c r="F22" s="247" t="s">
        <v>23</v>
      </c>
      <c r="G22" s="247" t="s">
        <v>29</v>
      </c>
      <c r="H22" s="282">
        <f>'[1]Waste Performance'!AL7</f>
        <v>0.71207034563505811</v>
      </c>
      <c r="I22" s="282">
        <f>'[1]Waste Performance'!AM7</f>
        <v>0.7</v>
      </c>
      <c r="J22" s="282">
        <f>'[1]Waste Performance'!AN7</f>
        <v>0.74</v>
      </c>
      <c r="K22" s="282">
        <f>'[1]Waste Performance'!AO7</f>
        <v>0.75</v>
      </c>
      <c r="L22" s="282">
        <f>'[1]Waste Performance'!AR7</f>
        <v>0.749</v>
      </c>
      <c r="M22" s="283">
        <f>'[1]Waste Performance'!AU7</f>
        <v>0.86</v>
      </c>
      <c r="N22" s="721">
        <v>0.79</v>
      </c>
      <c r="O22" s="721">
        <v>0.748</v>
      </c>
      <c r="P22" s="254">
        <f t="shared" si="1"/>
        <v>-5.3164556962025364E-2</v>
      </c>
      <c r="Q22" s="262"/>
      <c r="R22" s="243"/>
    </row>
    <row r="23" spans="1:18" s="244" customFormat="1" ht="39.6">
      <c r="A23" s="3437"/>
      <c r="B23" s="3440"/>
      <c r="C23" s="273" t="s">
        <v>53</v>
      </c>
      <c r="D23" s="245">
        <v>2021</v>
      </c>
      <c r="E23" s="246" t="s">
        <v>22</v>
      </c>
      <c r="F23" s="247" t="s">
        <v>23</v>
      </c>
      <c r="G23" s="247" t="s">
        <v>23</v>
      </c>
      <c r="H23" s="245" t="s">
        <v>24</v>
      </c>
      <c r="I23" s="245" t="s">
        <v>24</v>
      </c>
      <c r="J23" s="245" t="s">
        <v>24</v>
      </c>
      <c r="K23" s="245" t="s">
        <v>24</v>
      </c>
      <c r="L23" s="245" t="s">
        <v>24</v>
      </c>
      <c r="M23" s="248" t="s">
        <v>45</v>
      </c>
      <c r="N23" s="812"/>
      <c r="O23" s="812"/>
      <c r="P23" s="274" t="s">
        <v>24</v>
      </c>
      <c r="Q23" s="249"/>
      <c r="R23" s="243"/>
    </row>
    <row r="24" spans="1:18" s="244" customFormat="1" ht="39.6">
      <c r="A24" s="3437"/>
      <c r="B24" s="3440"/>
      <c r="C24" s="273" t="s">
        <v>54</v>
      </c>
      <c r="D24" s="245">
        <v>2021</v>
      </c>
      <c r="E24" s="246" t="s">
        <v>22</v>
      </c>
      <c r="F24" s="247" t="s">
        <v>23</v>
      </c>
      <c r="G24" s="247" t="s">
        <v>23</v>
      </c>
      <c r="H24" s="245" t="s">
        <v>24</v>
      </c>
      <c r="I24" s="245" t="s">
        <v>24</v>
      </c>
      <c r="J24" s="245" t="s">
        <v>24</v>
      </c>
      <c r="K24" s="245" t="s">
        <v>24</v>
      </c>
      <c r="L24" s="245" t="s">
        <v>24</v>
      </c>
      <c r="M24" s="248" t="s">
        <v>45</v>
      </c>
      <c r="N24" s="812"/>
      <c r="O24" s="812"/>
      <c r="P24" s="274" t="s">
        <v>24</v>
      </c>
      <c r="Q24" s="249"/>
      <c r="R24" s="243"/>
    </row>
    <row r="25" spans="1:18" s="244" customFormat="1" ht="59.45">
      <c r="A25" s="3437"/>
      <c r="B25" s="3440"/>
      <c r="C25" s="273" t="s">
        <v>55</v>
      </c>
      <c r="D25" s="245">
        <v>2021</v>
      </c>
      <c r="E25" s="246" t="s">
        <v>22</v>
      </c>
      <c r="F25" s="247" t="s">
        <v>23</v>
      </c>
      <c r="G25" s="247" t="s">
        <v>23</v>
      </c>
      <c r="H25" s="245" t="s">
        <v>24</v>
      </c>
      <c r="I25" s="245" t="s">
        <v>24</v>
      </c>
      <c r="J25" s="245" t="s">
        <v>24</v>
      </c>
      <c r="K25" s="245" t="s">
        <v>24</v>
      </c>
      <c r="L25" s="245" t="s">
        <v>24</v>
      </c>
      <c r="M25" s="248" t="s">
        <v>56</v>
      </c>
      <c r="N25" s="812"/>
      <c r="O25" s="812"/>
      <c r="P25" s="274">
        <v>1</v>
      </c>
      <c r="Q25" s="268"/>
      <c r="R25" s="243"/>
    </row>
    <row r="26" spans="1:18" s="244" customFormat="1" ht="59.45">
      <c r="A26" s="3437"/>
      <c r="B26" s="3440"/>
      <c r="C26" s="285" t="s">
        <v>57</v>
      </c>
      <c r="D26" s="245">
        <v>2021</v>
      </c>
      <c r="E26" s="246" t="s">
        <v>22</v>
      </c>
      <c r="F26" s="247" t="s">
        <v>23</v>
      </c>
      <c r="G26" s="247" t="s">
        <v>23</v>
      </c>
      <c r="H26" s="245" t="s">
        <v>24</v>
      </c>
      <c r="I26" s="245" t="s">
        <v>24</v>
      </c>
      <c r="J26" s="245" t="s">
        <v>24</v>
      </c>
      <c r="K26" s="245" t="s">
        <v>24</v>
      </c>
      <c r="L26" s="245" t="s">
        <v>24</v>
      </c>
      <c r="M26" s="248" t="s">
        <v>27</v>
      </c>
      <c r="N26" s="812"/>
      <c r="O26" s="812"/>
      <c r="P26" s="248" t="s">
        <v>24</v>
      </c>
      <c r="Q26" s="249"/>
      <c r="R26" s="243"/>
    </row>
    <row r="27" spans="1:18" s="244" customFormat="1" ht="29.45">
      <c r="A27" s="3437"/>
      <c r="B27" s="3440"/>
      <c r="C27" s="3445" t="s">
        <v>58</v>
      </c>
      <c r="D27" s="245">
        <v>2021</v>
      </c>
      <c r="E27" s="246" t="s">
        <v>22</v>
      </c>
      <c r="F27" s="247" t="s">
        <v>23</v>
      </c>
      <c r="G27" s="247" t="s">
        <v>23</v>
      </c>
      <c r="H27" s="245" t="s">
        <v>24</v>
      </c>
      <c r="I27" s="245" t="s">
        <v>24</v>
      </c>
      <c r="J27" s="245" t="s">
        <v>24</v>
      </c>
      <c r="K27" s="245" t="s">
        <v>24</v>
      </c>
      <c r="L27" s="245" t="s">
        <v>24</v>
      </c>
      <c r="M27" s="248" t="s">
        <v>27</v>
      </c>
      <c r="N27" s="812"/>
      <c r="O27" s="812"/>
      <c r="P27" s="248" t="s">
        <v>24</v>
      </c>
      <c r="Q27" s="249"/>
      <c r="R27" s="243"/>
    </row>
    <row r="28" spans="1:18" s="244" customFormat="1" ht="29.45">
      <c r="A28" s="3437"/>
      <c r="B28" s="3440"/>
      <c r="C28" s="3446"/>
      <c r="D28" s="245"/>
      <c r="E28" s="286" t="s">
        <v>59</v>
      </c>
      <c r="F28" s="247" t="s">
        <v>29</v>
      </c>
      <c r="G28" s="247" t="s">
        <v>29</v>
      </c>
      <c r="H28" s="245" t="s">
        <v>24</v>
      </c>
      <c r="I28" s="245" t="s">
        <v>24</v>
      </c>
      <c r="J28" s="245" t="s">
        <v>24</v>
      </c>
      <c r="K28" s="287" t="e">
        <f>'[1]Surface Access'!$F$22</f>
        <v>#REF!</v>
      </c>
      <c r="L28" s="287">
        <v>0.187</v>
      </c>
      <c r="M28" s="277">
        <v>0.189</v>
      </c>
      <c r="N28" s="821">
        <v>0.157</v>
      </c>
      <c r="O28" s="821">
        <v>0.157</v>
      </c>
      <c r="P28" s="254">
        <f t="shared" ref="P28:P30" si="2">(O28-N28)/N28</f>
        <v>0</v>
      </c>
      <c r="Q28" s="262"/>
      <c r="R28" s="243"/>
    </row>
    <row r="29" spans="1:18" s="244" customFormat="1" ht="29.45">
      <c r="A29" s="3437"/>
      <c r="B29" s="3440"/>
      <c r="C29" s="3447"/>
      <c r="D29" s="245"/>
      <c r="E29" s="286" t="s">
        <v>60</v>
      </c>
      <c r="F29" s="247" t="s">
        <v>29</v>
      </c>
      <c r="G29" s="247" t="s">
        <v>29</v>
      </c>
      <c r="H29" s="288" t="s">
        <v>24</v>
      </c>
      <c r="I29" s="288" t="s">
        <v>24</v>
      </c>
      <c r="J29" s="288" t="s">
        <v>24</v>
      </c>
      <c r="K29" s="288">
        <f>'[1]Surface Access'!$F$10</f>
        <v>0</v>
      </c>
      <c r="L29" s="456">
        <f>'[1]Surface Access'!$K$10</f>
        <v>0</v>
      </c>
      <c r="M29" s="289">
        <f>'[1]Surface Access'!$P$10</f>
        <v>0</v>
      </c>
      <c r="N29" s="822"/>
      <c r="O29" s="822">
        <v>197808</v>
      </c>
      <c r="P29" s="254" t="e">
        <f t="shared" si="2"/>
        <v>#DIV/0!</v>
      </c>
      <c r="Q29" s="268"/>
      <c r="R29" s="243"/>
    </row>
    <row r="30" spans="1:18" s="244" customFormat="1" ht="29.45">
      <c r="A30" s="3437"/>
      <c r="B30" s="3440"/>
      <c r="C30" s="3447"/>
      <c r="D30" s="245"/>
      <c r="E30" s="290" t="s">
        <v>61</v>
      </c>
      <c r="F30" s="247" t="s">
        <v>29</v>
      </c>
      <c r="G30" s="247" t="s">
        <v>29</v>
      </c>
      <c r="H30" s="288" t="s">
        <v>24</v>
      </c>
      <c r="I30" s="288" t="s">
        <v>24</v>
      </c>
      <c r="J30" s="288" t="s">
        <v>24</v>
      </c>
      <c r="K30" s="293">
        <f>'[1]Surface Access'!$F$23</f>
        <v>0.20630000000000001</v>
      </c>
      <c r="L30" s="456">
        <f>'[1]Surface Access'!$K$23</f>
        <v>0.48670740872321872</v>
      </c>
      <c r="M30" s="457">
        <f>'[1]Surface Access'!$P$23</f>
        <v>0.48316061080221384</v>
      </c>
      <c r="N30" s="823"/>
      <c r="O30" s="823">
        <f>(O29/'G4-AO1, 2, 3 - PAX, ATM, Cargo'!H6)*100</f>
        <v>0.783782461219097</v>
      </c>
      <c r="P30" s="254" t="e">
        <f t="shared" si="2"/>
        <v>#DIV/0!</v>
      </c>
      <c r="Q30" s="268"/>
      <c r="R30" s="243"/>
    </row>
    <row r="31" spans="1:18" s="244" customFormat="1" ht="29.45">
      <c r="A31" s="3437"/>
      <c r="B31" s="3440"/>
      <c r="C31" s="273" t="s">
        <v>62</v>
      </c>
      <c r="D31" s="245">
        <v>2023</v>
      </c>
      <c r="E31" s="246" t="s">
        <v>22</v>
      </c>
      <c r="F31" s="247" t="s">
        <v>23</v>
      </c>
      <c r="G31" s="247" t="s">
        <v>23</v>
      </c>
      <c r="H31" s="248" t="s">
        <v>24</v>
      </c>
      <c r="I31" s="248" t="s">
        <v>24</v>
      </c>
      <c r="J31" s="248" t="s">
        <v>24</v>
      </c>
      <c r="K31" s="248" t="s">
        <v>24</v>
      </c>
      <c r="L31" s="248" t="s">
        <v>24</v>
      </c>
      <c r="M31" s="248" t="s">
        <v>27</v>
      </c>
      <c r="N31" s="812"/>
      <c r="O31" s="812"/>
      <c r="P31" s="248" t="s">
        <v>24</v>
      </c>
      <c r="Q31" s="249"/>
      <c r="R31" s="243"/>
    </row>
    <row r="32" spans="1:18" s="244" customFormat="1" ht="59.45">
      <c r="A32" s="3437"/>
      <c r="B32" s="3440"/>
      <c r="C32" s="273" t="s">
        <v>63</v>
      </c>
      <c r="D32" s="245">
        <v>2024</v>
      </c>
      <c r="E32" s="246" t="s">
        <v>22</v>
      </c>
      <c r="F32" s="247" t="s">
        <v>23</v>
      </c>
      <c r="G32" s="247" t="s">
        <v>23</v>
      </c>
      <c r="H32" s="245" t="s">
        <v>24</v>
      </c>
      <c r="I32" s="245" t="s">
        <v>24</v>
      </c>
      <c r="J32" s="245" t="s">
        <v>24</v>
      </c>
      <c r="K32" s="245" t="s">
        <v>24</v>
      </c>
      <c r="L32" s="245" t="s">
        <v>24</v>
      </c>
      <c r="M32" s="248" t="s">
        <v>27</v>
      </c>
      <c r="N32" s="812"/>
      <c r="O32" s="812"/>
      <c r="P32" s="248" t="s">
        <v>24</v>
      </c>
      <c r="Q32" s="249"/>
      <c r="R32" s="243"/>
    </row>
    <row r="33" spans="1:18" s="244" customFormat="1" ht="39.6">
      <c r="A33" s="3437"/>
      <c r="B33" s="3440"/>
      <c r="C33" s="273" t="s">
        <v>64</v>
      </c>
      <c r="D33" s="245">
        <v>2025</v>
      </c>
      <c r="E33" s="246" t="s">
        <v>22</v>
      </c>
      <c r="F33" s="247" t="s">
        <v>23</v>
      </c>
      <c r="G33" s="247" t="s">
        <v>23</v>
      </c>
      <c r="H33" s="245" t="s">
        <v>24</v>
      </c>
      <c r="I33" s="245" t="s">
        <v>24</v>
      </c>
      <c r="J33" s="245" t="s">
        <v>24</v>
      </c>
      <c r="K33" s="245" t="s">
        <v>24</v>
      </c>
      <c r="L33" s="245" t="s">
        <v>24</v>
      </c>
      <c r="M33" s="248" t="s">
        <v>27</v>
      </c>
      <c r="N33" s="812"/>
      <c r="O33" s="812"/>
      <c r="P33" s="248" t="s">
        <v>24</v>
      </c>
      <c r="Q33" s="249"/>
      <c r="R33" s="243"/>
    </row>
    <row r="34" spans="1:18" s="244" customFormat="1" ht="39.6">
      <c r="A34" s="3437"/>
      <c r="B34" s="3440"/>
      <c r="C34" s="273" t="s">
        <v>65</v>
      </c>
      <c r="D34" s="245">
        <v>2025</v>
      </c>
      <c r="E34" s="246" t="s">
        <v>22</v>
      </c>
      <c r="F34" s="247" t="s">
        <v>23</v>
      </c>
      <c r="G34" s="247" t="s">
        <v>23</v>
      </c>
      <c r="H34" s="245" t="s">
        <v>24</v>
      </c>
      <c r="I34" s="245" t="s">
        <v>24</v>
      </c>
      <c r="J34" s="245" t="s">
        <v>24</v>
      </c>
      <c r="K34" s="245" t="s">
        <v>24</v>
      </c>
      <c r="L34" s="245" t="s">
        <v>24</v>
      </c>
      <c r="M34" s="248" t="s">
        <v>27</v>
      </c>
      <c r="N34" s="812"/>
      <c r="O34" s="812"/>
      <c r="P34" s="248" t="s">
        <v>24</v>
      </c>
      <c r="Q34" s="249"/>
      <c r="R34" s="243"/>
    </row>
    <row r="35" spans="1:18" s="244" customFormat="1" ht="59.45">
      <c r="A35" s="3437"/>
      <c r="B35" s="3440"/>
      <c r="C35" s="273" t="s">
        <v>66</v>
      </c>
      <c r="D35" s="245">
        <v>2025</v>
      </c>
      <c r="E35" s="246" t="s">
        <v>22</v>
      </c>
      <c r="F35" s="247" t="s">
        <v>23</v>
      </c>
      <c r="G35" s="247" t="s">
        <v>23</v>
      </c>
      <c r="H35" s="245" t="s">
        <v>24</v>
      </c>
      <c r="I35" s="245" t="s">
        <v>24</v>
      </c>
      <c r="J35" s="245" t="s">
        <v>24</v>
      </c>
      <c r="K35" s="245" t="s">
        <v>24</v>
      </c>
      <c r="L35" s="245" t="s">
        <v>24</v>
      </c>
      <c r="M35" s="248" t="s">
        <v>27</v>
      </c>
      <c r="N35" s="812"/>
      <c r="O35" s="812"/>
      <c r="P35" s="248" t="s">
        <v>24</v>
      </c>
      <c r="Q35" s="249"/>
      <c r="R35" s="243"/>
    </row>
    <row r="36" spans="1:18" s="244" customFormat="1" ht="29.45">
      <c r="A36" s="3437"/>
      <c r="B36" s="3440"/>
      <c r="C36" s="3445" t="s">
        <v>67</v>
      </c>
      <c r="D36" s="245">
        <v>2030</v>
      </c>
      <c r="E36" s="246" t="s">
        <v>22</v>
      </c>
      <c r="F36" s="247" t="s">
        <v>23</v>
      </c>
      <c r="G36" s="247" t="s">
        <v>23</v>
      </c>
      <c r="H36" s="245" t="s">
        <v>24</v>
      </c>
      <c r="I36" s="245" t="s">
        <v>24</v>
      </c>
      <c r="J36" s="245" t="s">
        <v>24</v>
      </c>
      <c r="K36" s="245" t="s">
        <v>24</v>
      </c>
      <c r="L36" s="245" t="s">
        <v>24</v>
      </c>
      <c r="M36" s="248" t="s">
        <v>27</v>
      </c>
      <c r="N36" s="812"/>
      <c r="O36" s="812"/>
      <c r="P36" s="248" t="s">
        <v>24</v>
      </c>
      <c r="Q36" s="249"/>
      <c r="R36" s="243"/>
    </row>
    <row r="37" spans="1:18" s="244" customFormat="1" ht="29.45">
      <c r="A37" s="3437"/>
      <c r="B37" s="3440"/>
      <c r="C37" s="3446"/>
      <c r="D37" s="245"/>
      <c r="E37" s="286" t="s">
        <v>68</v>
      </c>
      <c r="F37" s="247" t="s">
        <v>29</v>
      </c>
      <c r="G37" s="247" t="s">
        <v>23</v>
      </c>
      <c r="H37" s="245" t="s">
        <v>24</v>
      </c>
      <c r="I37" s="245" t="s">
        <v>24</v>
      </c>
      <c r="J37" s="245" t="s">
        <v>24</v>
      </c>
      <c r="K37" s="288">
        <f>[1]Energy!$BE$26</f>
        <v>148.73668621073168</v>
      </c>
      <c r="L37" s="288">
        <f>[1]Energy!$BD$26</f>
        <v>146.35774219317074</v>
      </c>
      <c r="M37" s="289">
        <f>[1]Energy!$BC$26</f>
        <v>78.221616364185962</v>
      </c>
      <c r="N37" s="822"/>
      <c r="O37" s="822"/>
      <c r="P37" s="254">
        <f>(M37-L37)/L37</f>
        <v>-0.46554507337954892</v>
      </c>
      <c r="Q37" s="268"/>
      <c r="R37" s="243"/>
    </row>
    <row r="38" spans="1:18" ht="59.45">
      <c r="A38" s="3448" t="s">
        <v>69</v>
      </c>
      <c r="B38" s="3450" t="s">
        <v>20</v>
      </c>
      <c r="C38" s="296" t="s">
        <v>70</v>
      </c>
      <c r="D38" s="297">
        <v>2020</v>
      </c>
      <c r="E38" s="298" t="s">
        <v>22</v>
      </c>
      <c r="F38" s="299" t="s">
        <v>23</v>
      </c>
      <c r="G38" s="299" t="s">
        <v>23</v>
      </c>
      <c r="H38" s="300" t="s">
        <v>24</v>
      </c>
      <c r="I38" s="300" t="s">
        <v>24</v>
      </c>
      <c r="J38" s="300" t="s">
        <v>24</v>
      </c>
      <c r="K38" s="300" t="s">
        <v>24</v>
      </c>
      <c r="L38" s="301" t="s">
        <v>24</v>
      </c>
      <c r="M38" s="302" t="s">
        <v>45</v>
      </c>
      <c r="N38" s="824"/>
      <c r="O38" s="824"/>
      <c r="P38" s="303" t="s">
        <v>24</v>
      </c>
      <c r="Q38" s="304"/>
    </row>
    <row r="39" spans="1:18" ht="29.45">
      <c r="A39" s="3449"/>
      <c r="B39" s="3451"/>
      <c r="C39" s="3452" t="s">
        <v>72</v>
      </c>
      <c r="D39" s="230"/>
      <c r="E39" s="305" t="s">
        <v>73</v>
      </c>
      <c r="F39" s="306" t="s">
        <v>23</v>
      </c>
      <c r="G39" s="307" t="s">
        <v>29</v>
      </c>
      <c r="H39" s="308">
        <f>'[1]H&amp;S and Sickness'!E8</f>
        <v>3</v>
      </c>
      <c r="I39" s="308">
        <f>'[1]H&amp;S and Sickness'!F8</f>
        <v>5</v>
      </c>
      <c r="J39" s="308">
        <f>'[1]H&amp;S and Sickness'!G8</f>
        <v>7</v>
      </c>
      <c r="K39" s="308">
        <f>'[1]H&amp;S and Sickness'!H8</f>
        <v>12</v>
      </c>
      <c r="L39" s="309">
        <f>'[1]H&amp;S and Sickness'!K8</f>
        <v>6</v>
      </c>
      <c r="M39" s="310">
        <v>0</v>
      </c>
      <c r="N39" s="376">
        <v>1</v>
      </c>
      <c r="O39" s="376">
        <v>6</v>
      </c>
      <c r="P39" s="254">
        <f t="shared" ref="P39:P41" si="3">(O39-N39)/N39</f>
        <v>5</v>
      </c>
      <c r="Q39" s="654"/>
    </row>
    <row r="40" spans="1:18" ht="29.45">
      <c r="A40" s="3449"/>
      <c r="B40" s="3451"/>
      <c r="C40" s="3452"/>
      <c r="D40" s="230"/>
      <c r="E40" s="305" t="s">
        <v>74</v>
      </c>
      <c r="F40" s="306" t="s">
        <v>23</v>
      </c>
      <c r="G40" s="307" t="s">
        <v>29</v>
      </c>
      <c r="H40" s="308">
        <f>'[1]H&amp;S and Sickness'!E9</f>
        <v>11</v>
      </c>
      <c r="I40" s="308">
        <f>'[1]H&amp;S and Sickness'!F9</f>
        <v>12</v>
      </c>
      <c r="J40" s="308">
        <f>'[1]H&amp;S and Sickness'!G9</f>
        <v>11</v>
      </c>
      <c r="K40" s="308">
        <f>'[1]H&amp;S and Sickness'!H9</f>
        <v>26</v>
      </c>
      <c r="L40" s="309">
        <f>'[1]H&amp;S and Sickness'!K9</f>
        <v>19</v>
      </c>
      <c r="M40" s="310">
        <f>'[1]H&amp;S and Sickness'!N9</f>
        <v>0</v>
      </c>
      <c r="N40" s="376">
        <v>9</v>
      </c>
      <c r="O40" s="376">
        <v>15</v>
      </c>
      <c r="P40" s="254">
        <f t="shared" si="3"/>
        <v>0.66666666666666663</v>
      </c>
      <c r="Q40" s="654"/>
    </row>
    <row r="41" spans="1:18" ht="29.45">
      <c r="A41" s="3449"/>
      <c r="B41" s="3451"/>
      <c r="C41" s="3452"/>
      <c r="D41" s="230"/>
      <c r="E41" s="313" t="s">
        <v>75</v>
      </c>
      <c r="F41" s="306" t="s">
        <v>23</v>
      </c>
      <c r="G41" s="307" t="s">
        <v>29</v>
      </c>
      <c r="H41" s="458"/>
      <c r="I41" s="458"/>
      <c r="J41" s="458"/>
      <c r="K41" s="458"/>
      <c r="L41" s="459"/>
      <c r="M41" s="459"/>
      <c r="N41" s="825"/>
      <c r="O41" s="825" t="s">
        <v>24</v>
      </c>
      <c r="P41" s="254" t="e">
        <f t="shared" si="3"/>
        <v>#VALUE!</v>
      </c>
      <c r="Q41" s="316"/>
    </row>
    <row r="42" spans="1:18" ht="39.6">
      <c r="A42" s="3449"/>
      <c r="B42" s="3451"/>
      <c r="C42" s="3452"/>
      <c r="D42" s="317">
        <v>2020</v>
      </c>
      <c r="E42" s="318" t="s">
        <v>77</v>
      </c>
      <c r="F42" s="306" t="s">
        <v>23</v>
      </c>
      <c r="G42" s="306" t="s">
        <v>23</v>
      </c>
      <c r="H42" s="308" t="s">
        <v>24</v>
      </c>
      <c r="I42" s="308" t="s">
        <v>24</v>
      </c>
      <c r="J42" s="308" t="s">
        <v>24</v>
      </c>
      <c r="K42" s="308">
        <v>100</v>
      </c>
      <c r="L42" s="309">
        <v>100</v>
      </c>
      <c r="M42" s="310" t="s">
        <v>25</v>
      </c>
      <c r="N42" s="376"/>
      <c r="O42" s="376"/>
      <c r="P42" s="319">
        <v>1</v>
      </c>
      <c r="Q42" s="312"/>
    </row>
    <row r="43" spans="1:18" ht="29.45">
      <c r="A43" s="3449"/>
      <c r="B43" s="3451"/>
      <c r="C43" s="3453" t="s">
        <v>78</v>
      </c>
      <c r="D43" s="3455">
        <v>2025</v>
      </c>
      <c r="E43" s="321" t="s">
        <v>22</v>
      </c>
      <c r="F43" s="307" t="s">
        <v>23</v>
      </c>
      <c r="G43" s="307" t="s">
        <v>23</v>
      </c>
      <c r="H43" s="322" t="s">
        <v>24</v>
      </c>
      <c r="I43" s="322" t="s">
        <v>24</v>
      </c>
      <c r="J43" s="322" t="s">
        <v>24</v>
      </c>
      <c r="K43" s="322" t="s">
        <v>24</v>
      </c>
      <c r="L43" s="323" t="s">
        <v>24</v>
      </c>
      <c r="M43" s="310" t="s">
        <v>27</v>
      </c>
      <c r="N43" s="376"/>
      <c r="O43" s="376"/>
      <c r="P43" s="310" t="s">
        <v>24</v>
      </c>
      <c r="Q43" s="324"/>
    </row>
    <row r="44" spans="1:18" ht="29.45">
      <c r="A44" s="3449"/>
      <c r="B44" s="3451"/>
      <c r="C44" s="3454"/>
      <c r="D44" s="3456"/>
      <c r="E44" s="325" t="s">
        <v>79</v>
      </c>
      <c r="F44" s="307" t="s">
        <v>29</v>
      </c>
      <c r="G44" s="307" t="s">
        <v>29</v>
      </c>
      <c r="H44" s="322" t="s">
        <v>24</v>
      </c>
      <c r="I44" s="322" t="s">
        <v>24</v>
      </c>
      <c r="J44" s="322" t="s">
        <v>24</v>
      </c>
      <c r="K44" s="322" t="s">
        <v>24</v>
      </c>
      <c r="L44" s="315">
        <f>'[1]Employee Dev &amp; Engage'!J19</f>
        <v>0.50490000000000002</v>
      </c>
      <c r="M44" s="315">
        <f>'[1]Employee Dev &amp; Engage'!M19</f>
        <v>0.25</v>
      </c>
      <c r="N44" s="500">
        <v>5.8000000000000003E-2</v>
      </c>
      <c r="O44" s="500">
        <v>0.46200000000000002</v>
      </c>
      <c r="P44" s="254">
        <f>(O44-N44)/N44</f>
        <v>6.9655172413793105</v>
      </c>
      <c r="Q44" s="316"/>
    </row>
    <row r="45" spans="1:18" ht="29.45">
      <c r="A45" s="3449"/>
      <c r="B45" s="3451"/>
      <c r="C45" s="3453" t="s">
        <v>80</v>
      </c>
      <c r="D45" s="3455">
        <v>2020</v>
      </c>
      <c r="E45" s="327" t="s">
        <v>22</v>
      </c>
      <c r="F45" s="306" t="s">
        <v>23</v>
      </c>
      <c r="G45" s="306" t="s">
        <v>23</v>
      </c>
      <c r="H45" s="322" t="s">
        <v>24</v>
      </c>
      <c r="I45" s="322" t="s">
        <v>24</v>
      </c>
      <c r="J45" s="322" t="s">
        <v>24</v>
      </c>
      <c r="K45" s="322" t="s">
        <v>24</v>
      </c>
      <c r="L45" s="309" t="s">
        <v>24</v>
      </c>
      <c r="M45" s="310" t="s">
        <v>25</v>
      </c>
      <c r="N45" s="376"/>
      <c r="O45" s="376"/>
      <c r="P45" s="319">
        <v>1</v>
      </c>
      <c r="Q45" s="328"/>
    </row>
    <row r="46" spans="1:18" ht="79.150000000000006">
      <c r="A46" s="3449"/>
      <c r="B46" s="3451"/>
      <c r="C46" s="3457"/>
      <c r="D46" s="3459"/>
      <c r="E46" s="329" t="s">
        <v>81</v>
      </c>
      <c r="F46" s="307" t="s">
        <v>29</v>
      </c>
      <c r="G46" s="307" t="s">
        <v>29</v>
      </c>
      <c r="H46" s="330" t="s">
        <v>24</v>
      </c>
      <c r="I46" s="330" t="s">
        <v>24</v>
      </c>
      <c r="J46" s="330" t="s">
        <v>24</v>
      </c>
      <c r="K46" s="330">
        <f>'[1]Customer Health and Safety, All'!I10</f>
        <v>0.98950000000000005</v>
      </c>
      <c r="L46" s="330">
        <f>'[1]Customer Health and Safety, All'!M10</f>
        <v>0.99860000000000004</v>
      </c>
      <c r="M46" s="330">
        <f>'[1]Customer Health and Safety, All'!P10</f>
        <v>0.99726872246696041</v>
      </c>
      <c r="N46" s="375">
        <v>1</v>
      </c>
      <c r="O46" s="375">
        <v>0.998</v>
      </c>
      <c r="P46" s="254">
        <f t="shared" ref="P46:P50" si="4">(O46-N46)/N46</f>
        <v>-2.0000000000000018E-3</v>
      </c>
      <c r="Q46" s="328"/>
    </row>
    <row r="47" spans="1:18" ht="79.150000000000006">
      <c r="A47" s="3449"/>
      <c r="B47" s="3451"/>
      <c r="C47" s="3457"/>
      <c r="D47" s="3459"/>
      <c r="E47" s="329" t="s">
        <v>82</v>
      </c>
      <c r="F47" s="307" t="s">
        <v>29</v>
      </c>
      <c r="G47" s="307" t="s">
        <v>29</v>
      </c>
      <c r="H47" s="330" t="s">
        <v>24</v>
      </c>
      <c r="I47" s="330" t="s">
        <v>24</v>
      </c>
      <c r="J47" s="330" t="s">
        <v>24</v>
      </c>
      <c r="K47" s="330">
        <f>'[1]Customer Health and Safety, All'!I13</f>
        <v>0.99619999999999997</v>
      </c>
      <c r="L47" s="330">
        <f>'[1]Customer Health and Safety, All'!M13</f>
        <v>0.99960000000000004</v>
      </c>
      <c r="M47" s="330">
        <f>'[1]Customer Health and Safety, All'!P13</f>
        <v>0.99959355100934844</v>
      </c>
      <c r="N47" s="375">
        <v>1</v>
      </c>
      <c r="O47" s="375">
        <v>0.999</v>
      </c>
      <c r="P47" s="254">
        <f t="shared" si="4"/>
        <v>-1.0000000000000009E-3</v>
      </c>
      <c r="Q47" s="328"/>
    </row>
    <row r="48" spans="1:18" ht="59.45">
      <c r="A48" s="3449"/>
      <c r="B48" s="3451"/>
      <c r="C48" s="3457"/>
      <c r="D48" s="3459"/>
      <c r="E48" s="329" t="s">
        <v>83</v>
      </c>
      <c r="F48" s="307" t="s">
        <v>29</v>
      </c>
      <c r="G48" s="307" t="s">
        <v>29</v>
      </c>
      <c r="H48" s="330" t="s">
        <v>24</v>
      </c>
      <c r="I48" s="330" t="s">
        <v>24</v>
      </c>
      <c r="J48" s="330" t="s">
        <v>24</v>
      </c>
      <c r="K48" s="330">
        <f>'[1]Customer Health and Safety, All'!I16</f>
        <v>0.95989999999999998</v>
      </c>
      <c r="L48" s="330">
        <f>'[1]Customer Health and Safety, All'!M16</f>
        <v>0.97240000000000004</v>
      </c>
      <c r="M48" s="330">
        <f>'[1]Customer Health and Safety, All'!P16</f>
        <v>0.99542195732918715</v>
      </c>
      <c r="N48" s="375">
        <v>0.97599999999999998</v>
      </c>
      <c r="O48" s="375">
        <v>0.92700000000000005</v>
      </c>
      <c r="P48" s="254">
        <f t="shared" si="4"/>
        <v>-5.0204918032786816E-2</v>
      </c>
      <c r="Q48" s="331"/>
    </row>
    <row r="49" spans="1:17" ht="59.45">
      <c r="A49" s="3449"/>
      <c r="B49" s="3451"/>
      <c r="C49" s="3457"/>
      <c r="D49" s="3459"/>
      <c r="E49" s="329" t="s">
        <v>84</v>
      </c>
      <c r="F49" s="307" t="s">
        <v>29</v>
      </c>
      <c r="G49" s="307" t="s">
        <v>29</v>
      </c>
      <c r="H49" s="330" t="s">
        <v>24</v>
      </c>
      <c r="I49" s="330" t="s">
        <v>24</v>
      </c>
      <c r="J49" s="330" t="s">
        <v>24</v>
      </c>
      <c r="K49" s="330">
        <f>'[1]Customer Health and Safety, All'!I19</f>
        <v>0.97489999999999999</v>
      </c>
      <c r="L49" s="330">
        <f>'[1]Customer Health and Safety, All'!M19</f>
        <v>0.98909999999999998</v>
      </c>
      <c r="M49" s="330">
        <f>'[1]Customer Health and Safety, All'!P19</f>
        <v>0.99935456110154908</v>
      </c>
      <c r="N49" s="375">
        <v>0.99199999999999999</v>
      </c>
      <c r="O49" s="375">
        <v>0.98280000000000001</v>
      </c>
      <c r="P49" s="254">
        <f t="shared" si="4"/>
        <v>-9.2741935483870823E-3</v>
      </c>
      <c r="Q49" s="331"/>
    </row>
    <row r="50" spans="1:17" ht="29.45">
      <c r="A50" s="3449"/>
      <c r="B50" s="3451"/>
      <c r="C50" s="3458"/>
      <c r="D50" s="3459"/>
      <c r="E50" s="332" t="s">
        <v>85</v>
      </c>
      <c r="F50" s="307" t="s">
        <v>29</v>
      </c>
      <c r="G50" s="307" t="s">
        <v>29</v>
      </c>
      <c r="H50" s="330" t="s">
        <v>24</v>
      </c>
      <c r="I50" s="330" t="s">
        <v>24</v>
      </c>
      <c r="J50" s="330" t="s">
        <v>24</v>
      </c>
      <c r="K50" s="460">
        <f>'[1]Customer Health and Safety, All'!I22</f>
        <v>3.92</v>
      </c>
      <c r="L50" s="460">
        <f>'[1]Customer Health and Safety, All'!M22</f>
        <v>3.96</v>
      </c>
      <c r="M50" s="460">
        <f>'[1]Customer Health and Safety, All'!P22</f>
        <v>4.3</v>
      </c>
      <c r="N50" s="498">
        <v>4</v>
      </c>
      <c r="O50" s="498"/>
      <c r="P50" s="254">
        <f t="shared" si="4"/>
        <v>-1</v>
      </c>
      <c r="Q50" s="334"/>
    </row>
    <row r="51" spans="1:17" ht="39.6">
      <c r="A51" s="3449"/>
      <c r="B51" s="3451"/>
      <c r="C51" s="335" t="s">
        <v>87</v>
      </c>
      <c r="D51" s="317">
        <v>2020</v>
      </c>
      <c r="E51" s="327" t="s">
        <v>22</v>
      </c>
      <c r="F51" s="306" t="s">
        <v>23</v>
      </c>
      <c r="G51" s="306" t="s">
        <v>23</v>
      </c>
      <c r="H51" s="308" t="s">
        <v>24</v>
      </c>
      <c r="I51" s="308" t="s">
        <v>24</v>
      </c>
      <c r="J51" s="308" t="s">
        <v>24</v>
      </c>
      <c r="K51" s="308" t="s">
        <v>24</v>
      </c>
      <c r="L51" s="309" t="s">
        <v>24</v>
      </c>
      <c r="M51" s="310" t="s">
        <v>45</v>
      </c>
      <c r="N51" s="376"/>
      <c r="O51" s="376"/>
      <c r="P51" s="336" t="s">
        <v>24</v>
      </c>
      <c r="Q51" s="324"/>
    </row>
    <row r="52" spans="1:17" ht="59.45">
      <c r="A52" s="3449"/>
      <c r="B52" s="3451"/>
      <c r="C52" s="335" t="s">
        <v>88</v>
      </c>
      <c r="D52" s="337">
        <v>2025</v>
      </c>
      <c r="E52" s="338" t="s">
        <v>22</v>
      </c>
      <c r="F52" s="339" t="s">
        <v>23</v>
      </c>
      <c r="G52" s="339" t="s">
        <v>23</v>
      </c>
      <c r="H52" s="340" t="s">
        <v>24</v>
      </c>
      <c r="I52" s="340" t="s">
        <v>24</v>
      </c>
      <c r="J52" s="340" t="s">
        <v>24</v>
      </c>
      <c r="K52" s="340" t="s">
        <v>24</v>
      </c>
      <c r="L52" s="340" t="s">
        <v>24</v>
      </c>
      <c r="M52" s="310" t="s">
        <v>27</v>
      </c>
      <c r="N52" s="376"/>
      <c r="O52" s="376"/>
      <c r="P52" s="310" t="s">
        <v>24</v>
      </c>
      <c r="Q52" s="324"/>
    </row>
    <row r="53" spans="1:17" ht="39.6">
      <c r="A53" s="3449"/>
      <c r="B53" s="3451"/>
      <c r="C53" s="335" t="s">
        <v>89</v>
      </c>
      <c r="D53" s="337">
        <v>2020</v>
      </c>
      <c r="E53" s="338" t="s">
        <v>22</v>
      </c>
      <c r="F53" s="339" t="s">
        <v>23</v>
      </c>
      <c r="G53" s="339" t="s">
        <v>23</v>
      </c>
      <c r="H53" s="340" t="s">
        <v>24</v>
      </c>
      <c r="I53" s="340" t="s">
        <v>24</v>
      </c>
      <c r="J53" s="340" t="s">
        <v>24</v>
      </c>
      <c r="K53" s="340" t="s">
        <v>24</v>
      </c>
      <c r="L53" s="341" t="s">
        <v>24</v>
      </c>
      <c r="M53" s="310" t="s">
        <v>25</v>
      </c>
      <c r="N53" s="376"/>
      <c r="O53" s="376"/>
      <c r="P53" s="336">
        <v>1</v>
      </c>
      <c r="Q53" s="328"/>
    </row>
    <row r="54" spans="1:17" ht="59.45">
      <c r="A54" s="3449"/>
      <c r="B54" s="3451"/>
      <c r="C54" s="342" t="s">
        <v>90</v>
      </c>
      <c r="D54" s="337">
        <v>2025</v>
      </c>
      <c r="E54" s="343" t="s">
        <v>91</v>
      </c>
      <c r="F54" s="339" t="s">
        <v>29</v>
      </c>
      <c r="G54" s="339" t="s">
        <v>29</v>
      </c>
      <c r="H54" s="344">
        <f>'[1]Work Placement, Apprentices and'!F14</f>
        <v>9850</v>
      </c>
      <c r="I54" s="344">
        <f>'[1]Work Placement, Apprentices and'!G14</f>
        <v>9162</v>
      </c>
      <c r="J54" s="344">
        <f>'[1]Work Placement, Apprentices and'!H14</f>
        <v>14954</v>
      </c>
      <c r="K54" s="344">
        <f>'[1]Work Placement, Apprentices and'!I14</f>
        <v>13287</v>
      </c>
      <c r="L54" s="344">
        <f>'[1]Work Placement, Apprentices and'!J14</f>
        <v>11123</v>
      </c>
      <c r="M54" s="345">
        <f>'[1]Work Placement, Apprentices and'!K14</f>
        <v>304</v>
      </c>
      <c r="N54" s="826">
        <v>4305</v>
      </c>
      <c r="O54" s="826">
        <v>7228</v>
      </c>
      <c r="P54" s="254">
        <f>(O54-N54)/N54</f>
        <v>0.67897793263646922</v>
      </c>
      <c r="Q54" s="346"/>
    </row>
    <row r="55" spans="1:17" ht="29.45">
      <c r="A55" s="3449"/>
      <c r="B55" s="3451"/>
      <c r="C55" s="3453" t="s">
        <v>92</v>
      </c>
      <c r="D55" s="3455">
        <v>2025</v>
      </c>
      <c r="E55" s="327" t="s">
        <v>22</v>
      </c>
      <c r="F55" s="307" t="s">
        <v>23</v>
      </c>
      <c r="G55" s="307" t="s">
        <v>23</v>
      </c>
      <c r="H55" s="322" t="s">
        <v>24</v>
      </c>
      <c r="I55" s="322" t="s">
        <v>24</v>
      </c>
      <c r="J55" s="322" t="s">
        <v>24</v>
      </c>
      <c r="K55" s="322" t="s">
        <v>24</v>
      </c>
      <c r="L55" s="322" t="s">
        <v>24</v>
      </c>
      <c r="M55" s="310" t="s">
        <v>27</v>
      </c>
      <c r="N55" s="376"/>
      <c r="O55" s="376"/>
      <c r="P55" s="311" t="s">
        <v>24</v>
      </c>
      <c r="Q55" s="347"/>
    </row>
    <row r="56" spans="1:17" ht="39.6">
      <c r="A56" s="3449"/>
      <c r="B56" s="3451"/>
      <c r="C56" s="3460"/>
      <c r="D56" s="3456"/>
      <c r="E56" s="343" t="s">
        <v>93</v>
      </c>
      <c r="F56" s="307" t="s">
        <v>29</v>
      </c>
      <c r="G56" s="339" t="s">
        <v>29</v>
      </c>
      <c r="H56" s="348" t="s">
        <v>24</v>
      </c>
      <c r="I56" s="348" t="s">
        <v>24</v>
      </c>
      <c r="J56" s="348" t="s">
        <v>24</v>
      </c>
      <c r="K56" s="348" t="s">
        <v>24</v>
      </c>
      <c r="L56" s="348" t="s">
        <v>24</v>
      </c>
      <c r="M56" s="349">
        <f>'[1]Airport Academies&amp;aerozones T&amp;D'!$M$42</f>
        <v>0.4</v>
      </c>
      <c r="N56" s="827">
        <v>0.86299999999999999</v>
      </c>
      <c r="O56" s="827">
        <v>0.81</v>
      </c>
      <c r="P56" s="254">
        <f>(O56-N56)/N56</f>
        <v>-6.1413673232908389E-2</v>
      </c>
      <c r="Q56" s="331"/>
    </row>
    <row r="57" spans="1:17" ht="59.45">
      <c r="A57" s="3449"/>
      <c r="B57" s="3451"/>
      <c r="C57" s="320" t="s">
        <v>94</v>
      </c>
      <c r="D57" s="317">
        <v>2025</v>
      </c>
      <c r="E57" s="327" t="s">
        <v>22</v>
      </c>
      <c r="F57" s="307" t="s">
        <v>23</v>
      </c>
      <c r="G57" s="307" t="s">
        <v>23</v>
      </c>
      <c r="H57" s="322" t="s">
        <v>24</v>
      </c>
      <c r="I57" s="322" t="s">
        <v>24</v>
      </c>
      <c r="J57" s="322" t="s">
        <v>24</v>
      </c>
      <c r="K57" s="322" t="s">
        <v>24</v>
      </c>
      <c r="L57" s="322" t="s">
        <v>24</v>
      </c>
      <c r="M57" s="310" t="s">
        <v>27</v>
      </c>
      <c r="N57" s="376"/>
      <c r="O57" s="376"/>
      <c r="P57" s="311" t="s">
        <v>24</v>
      </c>
      <c r="Q57" s="324"/>
    </row>
    <row r="58" spans="1:17" ht="29.45">
      <c r="A58" s="3449"/>
      <c r="B58" s="3451"/>
      <c r="C58" s="3461" t="s">
        <v>95</v>
      </c>
      <c r="D58" s="3463">
        <v>2025</v>
      </c>
      <c r="E58" s="318" t="s">
        <v>96</v>
      </c>
      <c r="F58" s="307" t="s">
        <v>29</v>
      </c>
      <c r="G58" s="307" t="s">
        <v>29</v>
      </c>
      <c r="H58" s="322">
        <f>'[1]Airport Academies&amp;aerozones T&amp;D'!D16</f>
        <v>116</v>
      </c>
      <c r="I58" s="322">
        <f>'[1]Airport Academies&amp;aerozones T&amp;D'!E16</f>
        <v>571</v>
      </c>
      <c r="J58" s="322">
        <f>'[1]Airport Academies&amp;aerozones T&amp;D'!F16</f>
        <v>290</v>
      </c>
      <c r="K58" s="322">
        <f>'[1]Airport Academies&amp;aerozones T&amp;D'!G16</f>
        <v>339</v>
      </c>
      <c r="L58" s="322">
        <f>'[1]Airport Academies&amp;aerozones T&amp;D'!J16</f>
        <v>264</v>
      </c>
      <c r="M58" s="354">
        <v>362</v>
      </c>
      <c r="N58" s="828">
        <v>4146</v>
      </c>
      <c r="O58" s="828">
        <v>1585</v>
      </c>
      <c r="P58" s="254">
        <f t="shared" ref="P58:P61" si="5">(O58-N58)/N58</f>
        <v>-0.61770381090207427</v>
      </c>
      <c r="Q58" s="331"/>
    </row>
    <row r="59" spans="1:17" ht="29.45">
      <c r="A59" s="3449"/>
      <c r="B59" s="3451"/>
      <c r="C59" s="3462"/>
      <c r="D59" s="3464"/>
      <c r="E59" s="305" t="s">
        <v>97</v>
      </c>
      <c r="F59" s="307" t="s">
        <v>29</v>
      </c>
      <c r="G59" s="307" t="s">
        <v>29</v>
      </c>
      <c r="H59" s="322" t="s">
        <v>24</v>
      </c>
      <c r="I59" s="322" t="s">
        <v>24</v>
      </c>
      <c r="J59" s="322" t="s">
        <v>24</v>
      </c>
      <c r="K59" s="322" t="s">
        <v>24</v>
      </c>
      <c r="L59" s="322" t="s">
        <v>24</v>
      </c>
      <c r="M59" s="315">
        <f>'[1]Airport Academies&amp;aerozones T&amp;D'!$M$21</f>
        <v>0.161</v>
      </c>
      <c r="N59" s="500">
        <v>0.13700000000000001</v>
      </c>
      <c r="O59" s="500">
        <v>0.248</v>
      </c>
      <c r="P59" s="254">
        <f t="shared" si="5"/>
        <v>0.81021897810218968</v>
      </c>
      <c r="Q59" s="352"/>
    </row>
    <row r="60" spans="1:17" ht="39.6">
      <c r="A60" s="3449"/>
      <c r="B60" s="3451"/>
      <c r="C60" s="3462"/>
      <c r="D60" s="3464"/>
      <c r="E60" s="356" t="s">
        <v>99</v>
      </c>
      <c r="F60" s="307" t="s">
        <v>23</v>
      </c>
      <c r="G60" s="307" t="s">
        <v>29</v>
      </c>
      <c r="H60" s="315">
        <f>'[1]Airport Academies&amp;aerozones T&amp;D'!D18</f>
        <v>1.4827586206896552</v>
      </c>
      <c r="I60" s="315">
        <f>'[1]Airport Academies&amp;aerozones T&amp;D'!E18</f>
        <v>0.8213660245183888</v>
      </c>
      <c r="J60" s="315">
        <f>'[1]Airport Academies&amp;aerozones T&amp;D'!F18</f>
        <v>1.1965517241379311</v>
      </c>
      <c r="K60" s="315"/>
      <c r="L60" s="315"/>
      <c r="M60" s="640">
        <v>1E-3</v>
      </c>
      <c r="N60" s="829">
        <v>2.5000000000000001E-2</v>
      </c>
      <c r="O60" s="829">
        <v>0.248</v>
      </c>
      <c r="P60" s="254">
        <f t="shared" si="5"/>
        <v>8.92</v>
      </c>
      <c r="Q60" s="352"/>
    </row>
    <row r="61" spans="1:17" ht="39.6">
      <c r="A61" s="3449"/>
      <c r="B61" s="3451"/>
      <c r="C61" s="3462"/>
      <c r="D61" s="3464"/>
      <c r="E61" s="305" t="s">
        <v>98</v>
      </c>
      <c r="F61" s="307" t="s">
        <v>23</v>
      </c>
      <c r="G61" s="307" t="s">
        <v>29</v>
      </c>
      <c r="H61" s="353">
        <f>'[1]Airport Academies&amp;aerozones T&amp;D'!D19</f>
        <v>172</v>
      </c>
      <c r="I61" s="353">
        <f>'[1]Airport Academies&amp;aerozones T&amp;D'!E19</f>
        <v>0</v>
      </c>
      <c r="J61" s="353">
        <f>'[1]Airport Academies&amp;aerozones T&amp;D'!F19</f>
        <v>347</v>
      </c>
      <c r="K61" s="353">
        <f>'[1]Airport Academies&amp;aerozones T&amp;D'!G19</f>
        <v>390</v>
      </c>
      <c r="L61" s="353">
        <f>'[1]Airport Academies&amp;aerozones T&amp;D'!J19</f>
        <v>403</v>
      </c>
      <c r="M61" s="354">
        <f>'[1]Airport Academies&amp;aerozones T&amp;D'!M19</f>
        <v>17</v>
      </c>
      <c r="N61" s="828">
        <v>58</v>
      </c>
      <c r="O61" s="828">
        <v>122</v>
      </c>
      <c r="P61" s="254">
        <f t="shared" si="5"/>
        <v>1.103448275862069</v>
      </c>
      <c r="Q61" s="352"/>
    </row>
    <row r="62" spans="1:17" ht="59.45">
      <c r="A62" s="3449"/>
      <c r="B62" s="3451"/>
      <c r="C62" s="3462"/>
      <c r="D62" s="3465"/>
      <c r="E62" s="335" t="s">
        <v>100</v>
      </c>
      <c r="F62" s="339" t="s">
        <v>23</v>
      </c>
      <c r="G62" s="339" t="s">
        <v>23</v>
      </c>
      <c r="H62" s="340" t="s">
        <v>24</v>
      </c>
      <c r="I62" s="340" t="s">
        <v>24</v>
      </c>
      <c r="J62" s="340" t="s">
        <v>24</v>
      </c>
      <c r="K62" s="340" t="s">
        <v>24</v>
      </c>
      <c r="L62" s="340" t="s">
        <v>24</v>
      </c>
      <c r="M62" s="310" t="s">
        <v>27</v>
      </c>
      <c r="N62" s="376"/>
      <c r="O62" s="376"/>
      <c r="P62" s="310" t="s">
        <v>24</v>
      </c>
      <c r="Q62" s="324"/>
    </row>
    <row r="63" spans="1:17" ht="59.45">
      <c r="A63" s="3449"/>
      <c r="B63" s="3451"/>
      <c r="C63" s="320" t="s">
        <v>101</v>
      </c>
      <c r="D63" s="317">
        <v>2025</v>
      </c>
      <c r="E63" s="357" t="s">
        <v>22</v>
      </c>
      <c r="F63" s="307" t="s">
        <v>23</v>
      </c>
      <c r="G63" s="307" t="s">
        <v>23</v>
      </c>
      <c r="H63" s="322" t="s">
        <v>24</v>
      </c>
      <c r="I63" s="322" t="s">
        <v>24</v>
      </c>
      <c r="J63" s="322" t="s">
        <v>24</v>
      </c>
      <c r="K63" s="322" t="s">
        <v>24</v>
      </c>
      <c r="L63" s="322" t="s">
        <v>24</v>
      </c>
      <c r="M63" s="310" t="s">
        <v>27</v>
      </c>
      <c r="N63" s="376"/>
      <c r="O63" s="376"/>
      <c r="P63" s="310" t="s">
        <v>24</v>
      </c>
      <c r="Q63" s="324"/>
    </row>
    <row r="64" spans="1:17" ht="79.900000000000006" thickBot="1">
      <c r="A64" s="3449"/>
      <c r="B64" s="3451"/>
      <c r="C64" s="358" t="s">
        <v>102</v>
      </c>
      <c r="D64" s="359">
        <v>2025</v>
      </c>
      <c r="E64" s="360" t="s">
        <v>22</v>
      </c>
      <c r="F64" s="361" t="s">
        <v>23</v>
      </c>
      <c r="G64" s="361" t="s">
        <v>23</v>
      </c>
      <c r="H64" s="362" t="s">
        <v>24</v>
      </c>
      <c r="I64" s="362" t="s">
        <v>24</v>
      </c>
      <c r="J64" s="362" t="s">
        <v>24</v>
      </c>
      <c r="K64" s="362" t="s">
        <v>24</v>
      </c>
      <c r="L64" s="362" t="s">
        <v>24</v>
      </c>
      <c r="M64" s="363" t="s">
        <v>27</v>
      </c>
      <c r="N64" s="830"/>
      <c r="O64" s="830"/>
      <c r="P64" s="363" t="s">
        <v>24</v>
      </c>
      <c r="Q64" s="364"/>
    </row>
    <row r="65" spans="1:17" ht="29.45">
      <c r="A65" s="3449"/>
      <c r="B65" s="3451"/>
      <c r="C65" s="3466" t="s">
        <v>103</v>
      </c>
      <c r="D65" s="3455">
        <v>2020</v>
      </c>
      <c r="E65" s="318" t="s">
        <v>104</v>
      </c>
      <c r="F65" s="306" t="s">
        <v>23</v>
      </c>
      <c r="G65" s="306" t="s">
        <v>23</v>
      </c>
      <c r="H65" s="308" t="s">
        <v>24</v>
      </c>
      <c r="I65" s="308" t="s">
        <v>24</v>
      </c>
      <c r="J65" s="308" t="s">
        <v>24</v>
      </c>
      <c r="K65" s="308" t="s">
        <v>24</v>
      </c>
      <c r="L65" s="309" t="s">
        <v>24</v>
      </c>
      <c r="M65" s="310" t="s">
        <v>45</v>
      </c>
      <c r="N65" s="376"/>
      <c r="O65" s="376"/>
      <c r="P65" s="336" t="s">
        <v>24</v>
      </c>
      <c r="Q65" s="324"/>
    </row>
    <row r="66" spans="1:17" ht="29.45">
      <c r="A66" s="3449"/>
      <c r="B66" s="3451"/>
      <c r="C66" s="3453"/>
      <c r="D66" s="3459"/>
      <c r="E66" s="365" t="s">
        <v>106</v>
      </c>
      <c r="F66" s="306" t="s">
        <v>23</v>
      </c>
      <c r="G66" s="307" t="s">
        <v>29</v>
      </c>
      <c r="H66" s="461">
        <f>'[1]Procurement practices'!D8</f>
        <v>0.33524355300859598</v>
      </c>
      <c r="I66" s="461">
        <f>'[1]Procurement practices'!E8</f>
        <v>0.37</v>
      </c>
      <c r="J66" s="461">
        <f>'[1]Procurement practices'!F8</f>
        <v>0.35</v>
      </c>
      <c r="K66" s="461">
        <f>'[1]Procurement practices'!I8</f>
        <v>0.37</v>
      </c>
      <c r="L66" s="461">
        <f>'[1]Procurement practices'!L8</f>
        <v>0.37</v>
      </c>
      <c r="M66" s="462">
        <f>'[1]Procurement practices'!O8</f>
        <v>0.35</v>
      </c>
      <c r="N66" s="831">
        <v>0.37</v>
      </c>
      <c r="O66" s="831">
        <v>0.33</v>
      </c>
      <c r="P66" s="254">
        <f t="shared" ref="P66:P67" si="6">(O66-N66)/N66</f>
        <v>-0.10810810810810806</v>
      </c>
      <c r="Q66" s="367"/>
    </row>
    <row r="67" spans="1:17" ht="40.15" thickBot="1">
      <c r="A67" s="3449"/>
      <c r="B67" s="3451"/>
      <c r="C67" s="3453"/>
      <c r="D67" s="3459"/>
      <c r="E67" s="365" t="s">
        <v>107</v>
      </c>
      <c r="F67" s="306" t="s">
        <v>23</v>
      </c>
      <c r="G67" s="307" t="s">
        <v>29</v>
      </c>
      <c r="H67" s="311"/>
      <c r="I67" s="311"/>
      <c r="J67" s="311"/>
      <c r="K67" s="311"/>
      <c r="L67" s="463"/>
      <c r="M67" s="464"/>
      <c r="N67" s="832"/>
      <c r="O67" s="832"/>
      <c r="P67" s="254" t="e">
        <f t="shared" si="6"/>
        <v>#DIV/0!</v>
      </c>
      <c r="Q67" s="352"/>
    </row>
    <row r="68" spans="1:17" ht="40.15" thickBot="1">
      <c r="A68" s="3449"/>
      <c r="B68" s="3451"/>
      <c r="C68" s="3457"/>
      <c r="D68" s="3459"/>
      <c r="E68" s="368" t="s">
        <v>108</v>
      </c>
      <c r="F68" s="306" t="s">
        <v>23</v>
      </c>
      <c r="G68" s="306" t="s">
        <v>23</v>
      </c>
      <c r="H68" s="351">
        <f>'[1]Economic Performance'!E7</f>
        <v>900</v>
      </c>
      <c r="I68" s="351">
        <f>'[1]Economic Performance'!F7</f>
        <v>1200</v>
      </c>
      <c r="J68" s="351">
        <f>'[1]Economic Performance'!I7</f>
        <v>1350</v>
      </c>
      <c r="K68" s="351">
        <f>'[1]Economic Performance'!L7</f>
        <v>1400</v>
      </c>
      <c r="L68" s="351" t="str">
        <f>'[1]Economic Performance'!O7</f>
        <v>Not measured this year</v>
      </c>
      <c r="M68" s="369" t="str">
        <f>'[1]Economic Performance'!R7</f>
        <v>Not measured this year</v>
      </c>
      <c r="N68" s="369"/>
      <c r="O68" s="369"/>
      <c r="P68" s="370" t="e">
        <f>M68-L68</f>
        <v>#VALUE!</v>
      </c>
      <c r="Q68" s="371"/>
    </row>
    <row r="69" spans="1:17" ht="40.15" thickBot="1">
      <c r="A69" s="3449"/>
      <c r="B69" s="3451"/>
      <c r="C69" s="335" t="s">
        <v>110</v>
      </c>
      <c r="D69" s="317">
        <v>2021</v>
      </c>
      <c r="E69" s="327" t="s">
        <v>22</v>
      </c>
      <c r="F69" s="307" t="s">
        <v>23</v>
      </c>
      <c r="G69" s="307" t="s">
        <v>23</v>
      </c>
      <c r="H69" s="322" t="s">
        <v>24</v>
      </c>
      <c r="I69" s="322" t="s">
        <v>24</v>
      </c>
      <c r="J69" s="322" t="s">
        <v>24</v>
      </c>
      <c r="K69" s="322" t="s">
        <v>24</v>
      </c>
      <c r="L69" s="323" t="s">
        <v>24</v>
      </c>
      <c r="M69" s="310" t="s">
        <v>27</v>
      </c>
      <c r="N69" s="376"/>
      <c r="O69" s="376"/>
      <c r="P69" s="310" t="s">
        <v>24</v>
      </c>
      <c r="Q69" s="324"/>
    </row>
    <row r="70" spans="1:17" ht="60" thickBot="1">
      <c r="A70" s="3449"/>
      <c r="B70" s="3451"/>
      <c r="C70" s="335" t="s">
        <v>111</v>
      </c>
      <c r="D70" s="317">
        <v>2021</v>
      </c>
      <c r="E70" s="327" t="s">
        <v>22</v>
      </c>
      <c r="F70" s="307" t="s">
        <v>23</v>
      </c>
      <c r="G70" s="307" t="s">
        <v>23</v>
      </c>
      <c r="H70" s="322" t="s">
        <v>24</v>
      </c>
      <c r="I70" s="322" t="s">
        <v>24</v>
      </c>
      <c r="J70" s="322" t="s">
        <v>24</v>
      </c>
      <c r="K70" s="322" t="s">
        <v>24</v>
      </c>
      <c r="L70" s="323" t="s">
        <v>24</v>
      </c>
      <c r="M70" s="310" t="s">
        <v>27</v>
      </c>
      <c r="N70" s="376"/>
      <c r="O70" s="376"/>
      <c r="P70" s="310" t="s">
        <v>24</v>
      </c>
      <c r="Q70" s="324"/>
    </row>
    <row r="71" spans="1:17" ht="30" thickBot="1">
      <c r="A71" s="3449"/>
      <c r="B71" s="3451"/>
      <c r="C71" s="3466" t="s">
        <v>112</v>
      </c>
      <c r="D71" s="317">
        <v>2021</v>
      </c>
      <c r="E71" s="327" t="s">
        <v>22</v>
      </c>
      <c r="F71" s="307" t="s">
        <v>23</v>
      </c>
      <c r="G71" s="307" t="s">
        <v>23</v>
      </c>
      <c r="H71" s="322" t="s">
        <v>24</v>
      </c>
      <c r="I71" s="322" t="s">
        <v>24</v>
      </c>
      <c r="J71" s="322" t="s">
        <v>24</v>
      </c>
      <c r="K71" s="322" t="s">
        <v>24</v>
      </c>
      <c r="L71" s="323" t="s">
        <v>24</v>
      </c>
      <c r="M71" s="310" t="s">
        <v>27</v>
      </c>
      <c r="N71" s="376"/>
      <c r="O71" s="376"/>
      <c r="P71" s="310" t="s">
        <v>24</v>
      </c>
      <c r="Q71" s="324"/>
    </row>
    <row r="72" spans="1:17" ht="30" thickBot="1">
      <c r="A72" s="3449"/>
      <c r="B72" s="3451"/>
      <c r="C72" s="3467"/>
      <c r="D72" s="372" t="s">
        <v>24</v>
      </c>
      <c r="E72" s="343" t="s">
        <v>113</v>
      </c>
      <c r="F72" s="307" t="s">
        <v>23</v>
      </c>
      <c r="G72" s="307" t="s">
        <v>23</v>
      </c>
      <c r="H72" s="459">
        <f>'[1]Diversity and Equal Opportunity'!F37</f>
        <v>0.23529411764705882</v>
      </c>
      <c r="I72" s="459">
        <f>'[1]Diversity and Equal Opportunity'!H37</f>
        <v>0.39130434782608697</v>
      </c>
      <c r="J72" s="459">
        <f>'[1]Diversity and Equal Opportunity'!J37</f>
        <v>0.33913043478260868</v>
      </c>
      <c r="K72" s="459">
        <f>'[1]Diversity and Equal Opportunity'!L37</f>
        <v>0.34513274336283184</v>
      </c>
      <c r="L72" s="459">
        <f>'[1]Diversity and Equal Opportunity'!N37</f>
        <v>0.3401360544217687</v>
      </c>
      <c r="M72" s="465">
        <f>'[1]Diversity and Equal Opportunity'!P37</f>
        <v>0.32592592592592595</v>
      </c>
      <c r="N72" s="825"/>
      <c r="O72" s="825"/>
      <c r="P72" s="366">
        <f>(M72-L72)/L72</f>
        <v>-4.1777777777777671E-2</v>
      </c>
      <c r="Q72" s="316"/>
    </row>
    <row r="73" spans="1:17" ht="30" thickBot="1">
      <c r="A73" s="3449"/>
      <c r="B73" s="3451"/>
      <c r="C73" s="3453" t="s">
        <v>114</v>
      </c>
      <c r="D73" s="317">
        <v>2021</v>
      </c>
      <c r="E73" s="327" t="s">
        <v>22</v>
      </c>
      <c r="F73" s="307" t="s">
        <v>23</v>
      </c>
      <c r="G73" s="307" t="s">
        <v>23</v>
      </c>
      <c r="H73" s="322" t="s">
        <v>24</v>
      </c>
      <c r="I73" s="322" t="s">
        <v>24</v>
      </c>
      <c r="J73" s="322" t="s">
        <v>24</v>
      </c>
      <c r="K73" s="322" t="s">
        <v>24</v>
      </c>
      <c r="L73" s="323" t="s">
        <v>24</v>
      </c>
      <c r="M73" s="310" t="s">
        <v>27</v>
      </c>
      <c r="N73" s="376"/>
      <c r="O73" s="376"/>
      <c r="P73" s="310" t="s">
        <v>24</v>
      </c>
      <c r="Q73" s="324"/>
    </row>
    <row r="74" spans="1:17" ht="99.6" thickBot="1">
      <c r="A74" s="3449"/>
      <c r="B74" s="3451"/>
      <c r="C74" s="3454"/>
      <c r="D74" s="372" t="s">
        <v>24</v>
      </c>
      <c r="E74" s="368" t="s">
        <v>115</v>
      </c>
      <c r="F74" s="307" t="s">
        <v>23</v>
      </c>
      <c r="G74" s="307" t="s">
        <v>23</v>
      </c>
      <c r="H74" s="330">
        <f>'[1]Employee Dev &amp; Engage'!E31</f>
        <v>0.55000000000000004</v>
      </c>
      <c r="I74" s="330" t="str">
        <f>'[1]Employee Dev &amp; Engage'!F31</f>
        <v>No survey carried out this year</v>
      </c>
      <c r="J74" s="330" t="str">
        <f>'[1]Employee Dev &amp; Engage'!G31</f>
        <v>No survey carried out this year</v>
      </c>
      <c r="K74" s="330">
        <f>'[1]Employee Dev &amp; Engage'!J31</f>
        <v>0.59</v>
      </c>
      <c r="L74" s="330" t="str">
        <f>'[1]Employee Dev &amp; Engage'!M31</f>
        <v>No survey carried out this year</v>
      </c>
      <c r="M74" s="375" t="str">
        <f>'[1]Employee Dev &amp; Engage'!M34</f>
        <v>No survey carried out this year</v>
      </c>
      <c r="N74" s="375"/>
      <c r="O74" s="375"/>
      <c r="P74" s="376"/>
      <c r="Q74" s="377"/>
    </row>
    <row r="75" spans="1:17" ht="40.15" thickBot="1">
      <c r="A75" s="3449"/>
      <c r="B75" s="3451"/>
      <c r="C75" s="335" t="s">
        <v>116</v>
      </c>
      <c r="D75" s="337">
        <v>2021</v>
      </c>
      <c r="E75" s="338" t="s">
        <v>22</v>
      </c>
      <c r="F75" s="339" t="s">
        <v>23</v>
      </c>
      <c r="G75" s="339" t="s">
        <v>23</v>
      </c>
      <c r="H75" s="340" t="s">
        <v>24</v>
      </c>
      <c r="I75" s="340" t="s">
        <v>24</v>
      </c>
      <c r="J75" s="340" t="s">
        <v>24</v>
      </c>
      <c r="K75" s="340" t="s">
        <v>24</v>
      </c>
      <c r="L75" s="340" t="s">
        <v>24</v>
      </c>
      <c r="M75" s="310" t="s">
        <v>27</v>
      </c>
      <c r="N75" s="376"/>
      <c r="O75" s="376"/>
      <c r="P75" s="310" t="s">
        <v>24</v>
      </c>
      <c r="Q75" s="324"/>
    </row>
    <row r="76" spans="1:17" ht="60" thickBot="1">
      <c r="A76" s="3449"/>
      <c r="B76" s="3451"/>
      <c r="C76" s="335" t="s">
        <v>117</v>
      </c>
      <c r="D76" s="337">
        <v>2021</v>
      </c>
      <c r="E76" s="338" t="s">
        <v>22</v>
      </c>
      <c r="F76" s="339" t="s">
        <v>23</v>
      </c>
      <c r="G76" s="339" t="s">
        <v>23</v>
      </c>
      <c r="H76" s="340" t="s">
        <v>24</v>
      </c>
      <c r="I76" s="340" t="s">
        <v>24</v>
      </c>
      <c r="J76" s="340" t="s">
        <v>24</v>
      </c>
      <c r="K76" s="340" t="s">
        <v>24</v>
      </c>
      <c r="L76" s="340" t="s">
        <v>24</v>
      </c>
      <c r="M76" s="310" t="s">
        <v>27</v>
      </c>
      <c r="N76" s="376"/>
      <c r="O76" s="376"/>
      <c r="P76" s="310" t="s">
        <v>24</v>
      </c>
      <c r="Q76" s="324"/>
    </row>
    <row r="77" spans="1:17" ht="60" thickBot="1">
      <c r="A77" s="3449"/>
      <c r="B77" s="3451"/>
      <c r="C77" s="335" t="s">
        <v>118</v>
      </c>
      <c r="D77" s="337">
        <v>2022</v>
      </c>
      <c r="E77" s="338" t="s">
        <v>22</v>
      </c>
      <c r="F77" s="339" t="s">
        <v>23</v>
      </c>
      <c r="G77" s="339" t="s">
        <v>23</v>
      </c>
      <c r="H77" s="340" t="s">
        <v>24</v>
      </c>
      <c r="I77" s="340" t="s">
        <v>24</v>
      </c>
      <c r="J77" s="340" t="s">
        <v>24</v>
      </c>
      <c r="K77" s="340" t="s">
        <v>24</v>
      </c>
      <c r="L77" s="340" t="s">
        <v>24</v>
      </c>
      <c r="M77" s="310" t="s">
        <v>27</v>
      </c>
      <c r="N77" s="376"/>
      <c r="O77" s="376"/>
      <c r="P77" s="310" t="s">
        <v>24</v>
      </c>
      <c r="Q77" s="324"/>
    </row>
    <row r="78" spans="1:17" ht="40.15" thickBot="1">
      <c r="A78" s="3449"/>
      <c r="B78" s="3451"/>
      <c r="C78" s="335" t="s">
        <v>119</v>
      </c>
      <c r="D78" s="337">
        <v>2022</v>
      </c>
      <c r="E78" s="338" t="s">
        <v>22</v>
      </c>
      <c r="F78" s="339" t="s">
        <v>23</v>
      </c>
      <c r="G78" s="339" t="s">
        <v>23</v>
      </c>
      <c r="H78" s="340" t="s">
        <v>24</v>
      </c>
      <c r="I78" s="340" t="s">
        <v>24</v>
      </c>
      <c r="J78" s="340" t="s">
        <v>24</v>
      </c>
      <c r="K78" s="340" t="s">
        <v>24</v>
      </c>
      <c r="L78" s="340" t="s">
        <v>24</v>
      </c>
      <c r="M78" s="310" t="s">
        <v>27</v>
      </c>
      <c r="N78" s="376"/>
      <c r="O78" s="376"/>
      <c r="P78" s="310" t="s">
        <v>24</v>
      </c>
      <c r="Q78" s="324"/>
    </row>
    <row r="79" spans="1:17" ht="60" thickBot="1">
      <c r="A79" s="3449"/>
      <c r="B79" s="3451"/>
      <c r="C79" s="335" t="s">
        <v>120</v>
      </c>
      <c r="D79" s="337">
        <v>2023</v>
      </c>
      <c r="E79" s="338" t="s">
        <v>22</v>
      </c>
      <c r="F79" s="339" t="s">
        <v>23</v>
      </c>
      <c r="G79" s="339" t="s">
        <v>23</v>
      </c>
      <c r="H79" s="340" t="s">
        <v>24</v>
      </c>
      <c r="I79" s="340" t="s">
        <v>24</v>
      </c>
      <c r="J79" s="340" t="s">
        <v>24</v>
      </c>
      <c r="K79" s="340" t="s">
        <v>24</v>
      </c>
      <c r="L79" s="340" t="s">
        <v>24</v>
      </c>
      <c r="M79" s="310" t="s">
        <v>27</v>
      </c>
      <c r="N79" s="376"/>
      <c r="O79" s="376"/>
      <c r="P79" s="310" t="s">
        <v>24</v>
      </c>
      <c r="Q79" s="324"/>
    </row>
    <row r="80" spans="1:17" ht="59.45">
      <c r="A80" s="3468" t="s">
        <v>121</v>
      </c>
      <c r="B80" s="3471" t="s">
        <v>20</v>
      </c>
      <c r="C80" s="378" t="s">
        <v>122</v>
      </c>
      <c r="D80" s="379">
        <v>2020</v>
      </c>
      <c r="E80" s="380" t="s">
        <v>123</v>
      </c>
      <c r="F80" s="381" t="s">
        <v>29</v>
      </c>
      <c r="G80" s="382" t="s">
        <v>29</v>
      </c>
      <c r="H80" s="379" t="s">
        <v>24</v>
      </c>
      <c r="I80" s="379" t="s">
        <v>24</v>
      </c>
      <c r="J80" s="379" t="s">
        <v>24</v>
      </c>
      <c r="K80" s="379" t="s">
        <v>24</v>
      </c>
      <c r="L80" s="379" t="s">
        <v>24</v>
      </c>
      <c r="M80" s="383">
        <f>'[1]Employee Volunteering '!$J$18</f>
        <v>7.9429735234215884E-2</v>
      </c>
      <c r="N80" s="833">
        <v>0.11</v>
      </c>
      <c r="O80" s="833">
        <v>0.28599999999999998</v>
      </c>
      <c r="P80" s="254">
        <f t="shared" ref="P80:P84" si="7">(O80-N80)/N80</f>
        <v>1.5999999999999999</v>
      </c>
      <c r="Q80" s="352"/>
    </row>
    <row r="81" spans="1:17" ht="39.6">
      <c r="A81" s="3469"/>
      <c r="B81" s="3472"/>
      <c r="C81" s="384" t="s">
        <v>124</v>
      </c>
      <c r="D81" s="385">
        <v>2020</v>
      </c>
      <c r="E81" s="386" t="s">
        <v>125</v>
      </c>
      <c r="F81" s="382" t="s">
        <v>29</v>
      </c>
      <c r="G81" s="382" t="s">
        <v>29</v>
      </c>
      <c r="H81" s="466">
        <f>'[1]Employee Volunteering '!E16</f>
        <v>0.14399999999999999</v>
      </c>
      <c r="I81" s="467">
        <f>'[1]Employee Volunteering '!F16</f>
        <v>0.14599999999999999</v>
      </c>
      <c r="J81" s="467">
        <f>'[1]Employee Volunteering '!G16</f>
        <v>0.16</v>
      </c>
      <c r="K81" s="388">
        <f>'[1]Employee Volunteering '!H16</f>
        <v>0.16</v>
      </c>
      <c r="L81" s="388">
        <f>'[1]Employee Volunteering '!I16</f>
        <v>0.1366011445633242</v>
      </c>
      <c r="M81" s="389">
        <f>'[1]Employee Volunteering '!J16</f>
        <v>2.5634765625E-2</v>
      </c>
      <c r="N81" s="834">
        <v>3.7999999999999999E-2</v>
      </c>
      <c r="O81" s="834">
        <v>9.6000000000000002E-2</v>
      </c>
      <c r="P81" s="254">
        <f t="shared" si="7"/>
        <v>1.5263157894736843</v>
      </c>
      <c r="Q81" s="352"/>
    </row>
    <row r="82" spans="1:17" ht="59.45">
      <c r="A82" s="3469"/>
      <c r="B82" s="3472"/>
      <c r="C82" s="391" t="s">
        <v>126</v>
      </c>
      <c r="D82" s="385">
        <v>2020</v>
      </c>
      <c r="E82" s="392" t="s">
        <v>127</v>
      </c>
      <c r="F82" s="382" t="s">
        <v>29</v>
      </c>
      <c r="G82" s="382" t="s">
        <v>29</v>
      </c>
      <c r="H82" s="393">
        <f>'[1]Employee Volunteering '!E14</f>
        <v>6103</v>
      </c>
      <c r="I82" s="393">
        <f>'[1]Employee Volunteering '!F14</f>
        <v>6411</v>
      </c>
      <c r="J82" s="393">
        <f>'[1]Employee Volunteering '!G14</f>
        <v>6543</v>
      </c>
      <c r="K82" s="393">
        <f>'[1]Employee Volunteering '!H14</f>
        <v>9270</v>
      </c>
      <c r="L82" s="393">
        <f>'[1]Employee Volunteering '!I14</f>
        <v>6780</v>
      </c>
      <c r="M82" s="394">
        <f>'[1]Employee Volunteering '!J14</f>
        <v>12714</v>
      </c>
      <c r="N82" s="835">
        <v>2665</v>
      </c>
      <c r="O82" s="835">
        <v>1887.3</v>
      </c>
      <c r="P82" s="254">
        <f t="shared" si="7"/>
        <v>-0.29181988742964354</v>
      </c>
      <c r="Q82" s="390"/>
    </row>
    <row r="83" spans="1:17" ht="29.45">
      <c r="A83" s="3469"/>
      <c r="B83" s="3472"/>
      <c r="C83" s="3474" t="s">
        <v>128</v>
      </c>
      <c r="D83" s="3476">
        <v>2025</v>
      </c>
      <c r="E83" s="386" t="s">
        <v>129</v>
      </c>
      <c r="F83" s="397" t="s">
        <v>29</v>
      </c>
      <c r="G83" s="397" t="s">
        <v>29</v>
      </c>
      <c r="H83" s="468">
        <f>'[1]Community and Charity Donations'!F10</f>
        <v>118686</v>
      </c>
      <c r="I83" s="468">
        <f>'[1]Community and Charity Donations'!G10</f>
        <v>97112</v>
      </c>
      <c r="J83" s="468">
        <f>'[1]Community and Charity Donations'!H10</f>
        <v>97553</v>
      </c>
      <c r="K83" s="469">
        <f>'[1]Community and Charity Donations'!I10</f>
        <v>129852</v>
      </c>
      <c r="L83" s="470">
        <f>'[1]Community and Charity Donations'!J10</f>
        <v>110987.3</v>
      </c>
      <c r="M83" s="471">
        <f>'[1]Community and Charity Donations'!K10</f>
        <v>110394.89</v>
      </c>
      <c r="N83" s="836">
        <v>89203</v>
      </c>
      <c r="O83" s="836">
        <v>170689</v>
      </c>
      <c r="P83" s="254">
        <f t="shared" si="7"/>
        <v>0.91348945663262449</v>
      </c>
      <c r="Q83" s="352"/>
    </row>
    <row r="84" spans="1:17" ht="29.45">
      <c r="A84" s="3469"/>
      <c r="B84" s="3472"/>
      <c r="C84" s="3475"/>
      <c r="D84" s="3477"/>
      <c r="E84" s="392" t="s">
        <v>130</v>
      </c>
      <c r="F84" s="397" t="s">
        <v>29</v>
      </c>
      <c r="G84" s="397" t="s">
        <v>29</v>
      </c>
      <c r="H84" s="394">
        <f>'[1]Community and Charity Donations'!F11</f>
        <v>64</v>
      </c>
      <c r="I84" s="394">
        <f>'[1]Community and Charity Donations'!G11</f>
        <v>61</v>
      </c>
      <c r="J84" s="394">
        <f>'[1]Community and Charity Donations'!H11</f>
        <v>48</v>
      </c>
      <c r="K84" s="394">
        <f>'[1]Community and Charity Donations'!I11</f>
        <v>75</v>
      </c>
      <c r="L84" s="402">
        <f>'[1]Community and Charity Donations'!J11</f>
        <v>54</v>
      </c>
      <c r="M84" s="403">
        <f>'[1]Community and Charity Donations'!K11</f>
        <v>63</v>
      </c>
      <c r="N84" s="837">
        <v>46</v>
      </c>
      <c r="O84" s="837">
        <v>72</v>
      </c>
      <c r="P84" s="254">
        <f t="shared" si="7"/>
        <v>0.56521739130434778</v>
      </c>
      <c r="Q84" s="352"/>
    </row>
    <row r="85" spans="1:17" ht="59.45">
      <c r="A85" s="3469"/>
      <c r="B85" s="3472"/>
      <c r="C85" s="391" t="s">
        <v>131</v>
      </c>
      <c r="D85" s="385">
        <v>2020</v>
      </c>
      <c r="E85" s="404" t="s">
        <v>22</v>
      </c>
      <c r="F85" s="382" t="s">
        <v>23</v>
      </c>
      <c r="G85" s="382" t="s">
        <v>23</v>
      </c>
      <c r="H85" s="393" t="s">
        <v>24</v>
      </c>
      <c r="I85" s="393" t="s">
        <v>24</v>
      </c>
      <c r="J85" s="393" t="s">
        <v>24</v>
      </c>
      <c r="K85" s="393" t="s">
        <v>24</v>
      </c>
      <c r="L85" s="393" t="s">
        <v>24</v>
      </c>
      <c r="M85" s="405" t="s">
        <v>25</v>
      </c>
      <c r="N85" s="838"/>
      <c r="O85" s="838"/>
      <c r="P85" s="406">
        <v>1</v>
      </c>
      <c r="Q85" s="352"/>
    </row>
    <row r="86" spans="1:17" ht="79.150000000000006">
      <c r="A86" s="3469"/>
      <c r="B86" s="3472"/>
      <c r="C86" s="391" t="s">
        <v>133</v>
      </c>
      <c r="D86" s="385">
        <v>2020</v>
      </c>
      <c r="E86" s="404" t="s">
        <v>22</v>
      </c>
      <c r="F86" s="382" t="s">
        <v>23</v>
      </c>
      <c r="G86" s="382" t="s">
        <v>23</v>
      </c>
      <c r="H86" s="393" t="s">
        <v>24</v>
      </c>
      <c r="I86" s="393" t="s">
        <v>24</v>
      </c>
      <c r="J86" s="393" t="s">
        <v>24</v>
      </c>
      <c r="K86" s="393" t="s">
        <v>24</v>
      </c>
      <c r="L86" s="393" t="s">
        <v>24</v>
      </c>
      <c r="M86" s="405" t="s">
        <v>25</v>
      </c>
      <c r="N86" s="838"/>
      <c r="O86" s="838"/>
      <c r="P86" s="406">
        <v>1</v>
      </c>
      <c r="Q86" s="352"/>
    </row>
    <row r="87" spans="1:17" ht="59.45">
      <c r="A87" s="3469"/>
      <c r="B87" s="3472"/>
      <c r="C87" s="391" t="s">
        <v>134</v>
      </c>
      <c r="D87" s="385">
        <v>2021</v>
      </c>
      <c r="E87" s="404" t="s">
        <v>22</v>
      </c>
      <c r="F87" s="382" t="s">
        <v>23</v>
      </c>
      <c r="G87" s="382" t="s">
        <v>23</v>
      </c>
      <c r="H87" s="393" t="s">
        <v>24</v>
      </c>
      <c r="I87" s="393" t="s">
        <v>24</v>
      </c>
      <c r="J87" s="393" t="s">
        <v>24</v>
      </c>
      <c r="K87" s="393" t="s">
        <v>24</v>
      </c>
      <c r="L87" s="393" t="s">
        <v>24</v>
      </c>
      <c r="M87" s="405" t="s">
        <v>56</v>
      </c>
      <c r="N87" s="838"/>
      <c r="O87" s="838"/>
      <c r="P87" s="406">
        <v>1</v>
      </c>
      <c r="Q87" s="352"/>
    </row>
    <row r="88" spans="1:17" ht="39.6">
      <c r="A88" s="3469"/>
      <c r="B88" s="3472"/>
      <c r="C88" s="391" t="s">
        <v>135</v>
      </c>
      <c r="D88" s="385">
        <v>2021</v>
      </c>
      <c r="E88" s="404" t="s">
        <v>22</v>
      </c>
      <c r="F88" s="382" t="s">
        <v>23</v>
      </c>
      <c r="G88" s="382" t="s">
        <v>23</v>
      </c>
      <c r="H88" s="393" t="s">
        <v>24</v>
      </c>
      <c r="I88" s="393" t="s">
        <v>24</v>
      </c>
      <c r="J88" s="393" t="s">
        <v>24</v>
      </c>
      <c r="K88" s="393" t="s">
        <v>24</v>
      </c>
      <c r="L88" s="393" t="s">
        <v>24</v>
      </c>
      <c r="M88" s="405" t="s">
        <v>27</v>
      </c>
      <c r="N88" s="838"/>
      <c r="O88" s="838"/>
      <c r="P88" s="405" t="s">
        <v>24</v>
      </c>
      <c r="Q88" s="352"/>
    </row>
    <row r="89" spans="1:17" ht="39.6">
      <c r="A89" s="3469"/>
      <c r="B89" s="3472"/>
      <c r="C89" s="391" t="s">
        <v>136</v>
      </c>
      <c r="D89" s="385">
        <v>2022</v>
      </c>
      <c r="E89" s="404" t="s">
        <v>22</v>
      </c>
      <c r="F89" s="382" t="s">
        <v>23</v>
      </c>
      <c r="G89" s="382" t="s">
        <v>23</v>
      </c>
      <c r="H89" s="393" t="s">
        <v>24</v>
      </c>
      <c r="I89" s="393" t="s">
        <v>24</v>
      </c>
      <c r="J89" s="393" t="s">
        <v>24</v>
      </c>
      <c r="K89" s="393" t="s">
        <v>24</v>
      </c>
      <c r="L89" s="393" t="s">
        <v>24</v>
      </c>
      <c r="M89" s="405" t="s">
        <v>27</v>
      </c>
      <c r="N89" s="838"/>
      <c r="O89" s="838"/>
      <c r="P89" s="405" t="s">
        <v>24</v>
      </c>
      <c r="Q89" s="352"/>
    </row>
    <row r="90" spans="1:17" ht="29.45">
      <c r="A90" s="3469"/>
      <c r="B90" s="3472"/>
      <c r="C90" s="3478" t="s">
        <v>137</v>
      </c>
      <c r="D90" s="396">
        <v>2025</v>
      </c>
      <c r="E90" s="409" t="s">
        <v>22</v>
      </c>
      <c r="F90" s="397" t="s">
        <v>23</v>
      </c>
      <c r="G90" s="397" t="s">
        <v>23</v>
      </c>
      <c r="H90" s="398" t="s">
        <v>24</v>
      </c>
      <c r="I90" s="398" t="s">
        <v>24</v>
      </c>
      <c r="J90" s="398" t="s">
        <v>24</v>
      </c>
      <c r="K90" s="398" t="s">
        <v>24</v>
      </c>
      <c r="L90" s="398" t="s">
        <v>24</v>
      </c>
      <c r="M90" s="410" t="s">
        <v>27</v>
      </c>
      <c r="N90" s="838"/>
      <c r="O90" s="838"/>
      <c r="P90" s="410" t="s">
        <v>24</v>
      </c>
      <c r="Q90" s="352"/>
    </row>
    <row r="91" spans="1:17" ht="29.45">
      <c r="A91" s="3469"/>
      <c r="B91" s="3472"/>
      <c r="C91" s="3478"/>
      <c r="D91" s="396" t="s">
        <v>24</v>
      </c>
      <c r="E91" s="411" t="s">
        <v>138</v>
      </c>
      <c r="F91" s="397" t="s">
        <v>29</v>
      </c>
      <c r="G91" s="397" t="s">
        <v>29</v>
      </c>
      <c r="H91" s="412">
        <f>'[1]Community outreach&amp;neightbour'!C9</f>
        <v>85</v>
      </c>
      <c r="I91" s="412">
        <f>'[1]Community outreach&amp;neightbour'!D9</f>
        <v>86</v>
      </c>
      <c r="J91" s="412">
        <f>'[1]Community outreach&amp;neightbour'!E9</f>
        <v>99</v>
      </c>
      <c r="K91" s="412">
        <f>'[1]Community outreach&amp;neightbour'!F9</f>
        <v>83</v>
      </c>
      <c r="L91" s="412">
        <f>'[1]Community outreach&amp;neightbour'!G9</f>
        <v>90</v>
      </c>
      <c r="M91" s="413">
        <f>'[1]Community outreach&amp;neightbour'!H9</f>
        <v>36</v>
      </c>
      <c r="N91" s="839">
        <v>53</v>
      </c>
      <c r="O91" s="839">
        <v>60</v>
      </c>
      <c r="P91" s="254">
        <f>(O91-N91)/N91</f>
        <v>0.13207547169811321</v>
      </c>
      <c r="Q91" s="352"/>
    </row>
    <row r="92" spans="1:17" ht="29.45">
      <c r="A92" s="3469"/>
      <c r="B92" s="3472"/>
      <c r="C92" s="3479" t="s">
        <v>139</v>
      </c>
      <c r="D92" s="396">
        <v>2025</v>
      </c>
      <c r="E92" s="409" t="s">
        <v>22</v>
      </c>
      <c r="F92" s="397" t="s">
        <v>23</v>
      </c>
      <c r="G92" s="397" t="s">
        <v>23</v>
      </c>
      <c r="H92" s="398" t="s">
        <v>24</v>
      </c>
      <c r="I92" s="398" t="s">
        <v>24</v>
      </c>
      <c r="J92" s="398" t="s">
        <v>24</v>
      </c>
      <c r="K92" s="398" t="s">
        <v>24</v>
      </c>
      <c r="L92" s="398" t="s">
        <v>24</v>
      </c>
      <c r="M92" s="415" t="s">
        <v>27</v>
      </c>
      <c r="N92" s="840"/>
      <c r="O92" s="840"/>
      <c r="P92" s="405" t="s">
        <v>24</v>
      </c>
      <c r="Q92" s="352"/>
    </row>
    <row r="93" spans="1:17" ht="29.45">
      <c r="A93" s="3469"/>
      <c r="B93" s="3472"/>
      <c r="C93" s="3480"/>
      <c r="D93" s="396" t="s">
        <v>24</v>
      </c>
      <c r="E93" s="416" t="s">
        <v>140</v>
      </c>
      <c r="F93" s="397" t="s">
        <v>23</v>
      </c>
      <c r="G93" s="397" t="s">
        <v>29</v>
      </c>
      <c r="H93" s="472">
        <f>'[1]Noise Procedures'!H19</f>
        <v>0.9593322475570033</v>
      </c>
      <c r="I93" s="472">
        <f>'[1]Noise Procedures'!I19</f>
        <v>0.96110110515490288</v>
      </c>
      <c r="J93" s="472">
        <f>'[1]Noise Procedures'!J19</f>
        <v>0.96</v>
      </c>
      <c r="K93" s="389">
        <f>'[1]Noise Procedures'!K19</f>
        <v>0.94299999999999995</v>
      </c>
      <c r="L93" s="389">
        <f>'[1]Noise Procedures'!L19</f>
        <v>0.94</v>
      </c>
      <c r="M93" s="389">
        <f>'[1]Noise Procedures'!M19</f>
        <v>0.86021383075523206</v>
      </c>
      <c r="N93" s="834">
        <v>0.89</v>
      </c>
      <c r="O93" s="834">
        <v>0.91200000000000003</v>
      </c>
      <c r="P93" s="254">
        <f t="shared" ref="P93:P99" si="8">(O93-N93)/N93</f>
        <v>2.4719101123595526E-2</v>
      </c>
      <c r="Q93" s="352"/>
    </row>
    <row r="94" spans="1:17" ht="29.45">
      <c r="A94" s="3469"/>
      <c r="B94" s="3472"/>
      <c r="C94" s="3480"/>
      <c r="D94" s="396"/>
      <c r="E94" s="386" t="s">
        <v>141</v>
      </c>
      <c r="F94" s="397" t="s">
        <v>23</v>
      </c>
      <c r="G94" s="397" t="s">
        <v>29</v>
      </c>
      <c r="H94" s="417" t="str">
        <f>'[1]Noise Procedures'!H43</f>
        <v>n/a</v>
      </c>
      <c r="I94" s="417" t="str">
        <f>'[1]Noise Procedures'!I43</f>
        <v>n/a</v>
      </c>
      <c r="J94" s="417" t="str">
        <f>'[1]Noise Procedures'!J43</f>
        <v>n/a</v>
      </c>
      <c r="K94" s="417">
        <f>'[1]Noise Procedures'!K22</f>
        <v>0.94499999999999995</v>
      </c>
      <c r="L94" s="417">
        <f>'[1]Noise Procedures'!L22</f>
        <v>0.95</v>
      </c>
      <c r="M94" s="417">
        <f>'[1]Noise Procedures'!M22</f>
        <v>0.95</v>
      </c>
      <c r="N94" s="841">
        <v>0.95299999999999996</v>
      </c>
      <c r="O94" s="841">
        <v>0.95899999999999996</v>
      </c>
      <c r="P94" s="254">
        <f t="shared" si="8"/>
        <v>6.2959076600209926E-3</v>
      </c>
      <c r="Q94" s="352"/>
    </row>
    <row r="95" spans="1:17" ht="29.45">
      <c r="A95" s="3469"/>
      <c r="B95" s="3472"/>
      <c r="C95" s="3480"/>
      <c r="D95" s="396" t="s">
        <v>24</v>
      </c>
      <c r="E95" s="386" t="s">
        <v>142</v>
      </c>
      <c r="F95" s="397" t="s">
        <v>23</v>
      </c>
      <c r="G95" s="397" t="s">
        <v>29</v>
      </c>
      <c r="H95" s="417" t="str">
        <f>'[1]Noise Procedures'!H11</f>
        <v>n/a</v>
      </c>
      <c r="I95" s="417" t="str">
        <f>'[1]Noise Procedures'!I11</f>
        <v>n/a</v>
      </c>
      <c r="J95" s="417" t="str">
        <f>'[1]Noise Procedures'!J11</f>
        <v>n/a</v>
      </c>
      <c r="K95" s="417">
        <f>'[1]Noise Procedures'!K25</f>
        <v>0.91700000000000004</v>
      </c>
      <c r="L95" s="417">
        <f>'[1]Noise Procedures'!L25</f>
        <v>0.92</v>
      </c>
      <c r="M95" s="417">
        <f>'[1]Noise Procedures'!M25</f>
        <v>0.875</v>
      </c>
      <c r="N95" s="841">
        <v>0.90500000000000003</v>
      </c>
      <c r="O95" s="841">
        <v>0.88800000000000001</v>
      </c>
      <c r="P95" s="254">
        <f t="shared" si="8"/>
        <v>-1.8784530386740349E-2</v>
      </c>
      <c r="Q95" s="414"/>
    </row>
    <row r="96" spans="1:17" ht="29.45">
      <c r="A96" s="3469"/>
      <c r="B96" s="3472"/>
      <c r="C96" s="3480"/>
      <c r="D96" s="396" t="s">
        <v>24</v>
      </c>
      <c r="E96" s="386" t="s">
        <v>143</v>
      </c>
      <c r="F96" s="397" t="s">
        <v>23</v>
      </c>
      <c r="G96" s="397" t="s">
        <v>29</v>
      </c>
      <c r="H96" s="426">
        <f>'[1]Noise Footprint '!$I$11</f>
        <v>29.9</v>
      </c>
      <c r="I96" s="426">
        <f>'[1]Noise Footprint '!$I$12</f>
        <v>32</v>
      </c>
      <c r="J96" s="426">
        <f>'[1]Noise Footprint '!$I$13</f>
        <v>34</v>
      </c>
      <c r="K96" s="426">
        <f>'[1]Noise Footprint '!$I$14</f>
        <v>32</v>
      </c>
      <c r="L96" s="426">
        <f>'[1]Noise Footprint '!$I$15</f>
        <v>32.9</v>
      </c>
      <c r="M96" s="426">
        <v>9</v>
      </c>
      <c r="N96" s="842">
        <v>14.5</v>
      </c>
      <c r="O96" s="842">
        <v>25.2</v>
      </c>
      <c r="P96" s="254">
        <f t="shared" si="8"/>
        <v>0.73793103448275854</v>
      </c>
      <c r="Q96" s="419"/>
    </row>
    <row r="97" spans="1:17" ht="29.45">
      <c r="A97" s="3469"/>
      <c r="B97" s="3472"/>
      <c r="C97" s="3480"/>
      <c r="D97" s="396"/>
      <c r="E97" s="386" t="s">
        <v>144</v>
      </c>
      <c r="F97" s="397" t="s">
        <v>23</v>
      </c>
      <c r="G97" s="397" t="s">
        <v>29</v>
      </c>
      <c r="H97" s="420">
        <f>'[1]Noise Footprint '!$J$11</f>
        <v>31600</v>
      </c>
      <c r="I97" s="420">
        <f>'[1]Noise Footprint '!$J$12</f>
        <v>34100</v>
      </c>
      <c r="J97" s="420">
        <f>'[1]Noise Footprint '!$J$13</f>
        <v>36950</v>
      </c>
      <c r="K97" s="420">
        <f>'[1]Noise Footprint '!$J$14</f>
        <v>35300</v>
      </c>
      <c r="L97" s="420">
        <f>'[1]Noise Footprint '!$J$15</f>
        <v>34700</v>
      </c>
      <c r="M97" s="420">
        <v>3500</v>
      </c>
      <c r="N97" s="843">
        <v>9100</v>
      </c>
      <c r="O97" s="843">
        <v>25400</v>
      </c>
      <c r="P97" s="254">
        <f t="shared" si="8"/>
        <v>1.7912087912087913</v>
      </c>
      <c r="Q97" s="419"/>
    </row>
    <row r="98" spans="1:17" ht="29.45">
      <c r="A98" s="3469"/>
      <c r="B98" s="3472"/>
      <c r="C98" s="3480"/>
      <c r="D98" s="396"/>
      <c r="E98" s="386" t="s">
        <v>145</v>
      </c>
      <c r="F98" s="397" t="s">
        <v>23</v>
      </c>
      <c r="G98" s="397" t="s">
        <v>29</v>
      </c>
      <c r="H98" s="418">
        <f>'[1]Noise Footprint '!$I$32</f>
        <v>11</v>
      </c>
      <c r="I98" s="418">
        <f>'[1]Noise Footprint '!$I$33</f>
        <v>12.1</v>
      </c>
      <c r="J98" s="418">
        <f>'[1]Noise Footprint '!$I$34</f>
        <v>12.6</v>
      </c>
      <c r="K98" s="418">
        <f>'[1]Noise Footprint '!$I$35</f>
        <v>12.6</v>
      </c>
      <c r="L98" s="418">
        <f>'[1]Noise Footprint '!$I$36</f>
        <v>13.4</v>
      </c>
      <c r="M98" s="418">
        <v>4.0999999999999996</v>
      </c>
      <c r="N98" s="844">
        <v>6.7</v>
      </c>
      <c r="O98" s="844">
        <v>11.9</v>
      </c>
      <c r="P98" s="254">
        <f t="shared" si="8"/>
        <v>0.77611940298507465</v>
      </c>
      <c r="Q98" s="419"/>
    </row>
    <row r="99" spans="1:17" ht="29.45">
      <c r="A99" s="3469"/>
      <c r="B99" s="3472"/>
      <c r="C99" s="3480"/>
      <c r="D99" s="396" t="s">
        <v>24</v>
      </c>
      <c r="E99" s="386" t="s">
        <v>146</v>
      </c>
      <c r="F99" s="397" t="s">
        <v>23</v>
      </c>
      <c r="G99" s="397" t="s">
        <v>29</v>
      </c>
      <c r="H99" s="421">
        <f>'[1]Noise Footprint '!$J$32</f>
        <v>6200</v>
      </c>
      <c r="I99" s="421">
        <f>'[1]Noise Footprint '!$J$33</f>
        <v>9000</v>
      </c>
      <c r="J99" s="421">
        <f>'[1]Noise Footprint '!$J$34</f>
        <v>7500</v>
      </c>
      <c r="K99" s="421">
        <f>'[1]Noise Footprint '!$J$35</f>
        <v>8500</v>
      </c>
      <c r="L99" s="421">
        <f>'[1]Noise Footprint '!$J$36</f>
        <v>10500</v>
      </c>
      <c r="M99" s="421">
        <v>300</v>
      </c>
      <c r="N99" s="845">
        <v>3000</v>
      </c>
      <c r="O99" s="845">
        <v>8900</v>
      </c>
      <c r="P99" s="254">
        <f t="shared" si="8"/>
        <v>1.9666666666666666</v>
      </c>
      <c r="Q99" s="419"/>
    </row>
    <row r="100" spans="1:17" ht="29.45">
      <c r="A100" s="3469"/>
      <c r="B100" s="3472"/>
      <c r="C100" s="3478" t="s">
        <v>147</v>
      </c>
      <c r="D100" s="3476">
        <v>2024</v>
      </c>
      <c r="E100" s="409" t="s">
        <v>22</v>
      </c>
      <c r="F100" s="397" t="s">
        <v>23</v>
      </c>
      <c r="G100" s="397" t="s">
        <v>23</v>
      </c>
      <c r="H100" s="398" t="s">
        <v>24</v>
      </c>
      <c r="I100" s="398" t="s">
        <v>24</v>
      </c>
      <c r="J100" s="398" t="s">
        <v>24</v>
      </c>
      <c r="K100" s="398" t="s">
        <v>24</v>
      </c>
      <c r="L100" s="398" t="s">
        <v>24</v>
      </c>
      <c r="M100" s="405" t="s">
        <v>27</v>
      </c>
      <c r="N100" s="838"/>
      <c r="O100" s="838"/>
      <c r="P100" s="405" t="s">
        <v>24</v>
      </c>
      <c r="Q100" s="408"/>
    </row>
    <row r="101" spans="1:17" ht="29.45">
      <c r="A101" s="3469"/>
      <c r="B101" s="3472"/>
      <c r="C101" s="3478"/>
      <c r="D101" s="3476"/>
      <c r="E101" s="422" t="s">
        <v>148</v>
      </c>
      <c r="F101" s="397" t="s">
        <v>29</v>
      </c>
      <c r="G101" s="397" t="s">
        <v>29</v>
      </c>
      <c r="H101" s="394">
        <f>'[1]Noise Complaints'!H13</f>
        <v>678</v>
      </c>
      <c r="I101" s="394">
        <f>'[1]Noise Complaints'!I13</f>
        <v>1251</v>
      </c>
      <c r="J101" s="394">
        <f>'[1]Noise Complaints'!J13</f>
        <v>632</v>
      </c>
      <c r="K101" s="394">
        <f>'[1]Noise Complaints'!K13</f>
        <v>658</v>
      </c>
      <c r="L101" s="394">
        <f>'[1]Noise Complaints'!N13</f>
        <v>1011</v>
      </c>
      <c r="M101" s="423">
        <f>'[1]Noise Complaints'!Q13</f>
        <v>213</v>
      </c>
      <c r="N101" s="846">
        <v>1318</v>
      </c>
      <c r="O101" s="846">
        <v>1427</v>
      </c>
      <c r="P101" s="254">
        <f>(O101-N101)/N101</f>
        <v>8.2701062215478002E-2</v>
      </c>
      <c r="Q101" s="407"/>
    </row>
    <row r="102" spans="1:17" ht="29.45">
      <c r="A102" s="3469"/>
      <c r="B102" s="3472"/>
      <c r="C102" s="3478"/>
      <c r="D102" s="3476"/>
      <c r="E102" s="424" t="s">
        <v>149</v>
      </c>
      <c r="F102" s="397" t="s">
        <v>23</v>
      </c>
      <c r="G102" s="397" t="s">
        <v>23</v>
      </c>
      <c r="H102" s="425">
        <f>'[1]Noise Complaints'!H18</f>
        <v>3.8582793667414044</v>
      </c>
      <c r="I102" s="425">
        <f>'[1]Noise Complaints'!I18</f>
        <v>6.3624619828910287</v>
      </c>
      <c r="J102" s="425">
        <f>'[1]Noise Complaints'!J18</f>
        <v>3.1117369597542122</v>
      </c>
      <c r="K102" s="425">
        <f>'[1]Noise Complaints'!K18</f>
        <v>5.61</v>
      </c>
      <c r="L102" s="473">
        <f>'[1]Noise Complaints'!N18</f>
        <v>5.1632474834913973</v>
      </c>
      <c r="M102" s="473">
        <f>'[1]Noise Complaints'!Q18</f>
        <v>5.7150523209015294</v>
      </c>
      <c r="N102" s="847"/>
      <c r="O102" s="847"/>
      <c r="P102" s="417">
        <f>(M102-L102)/L102</f>
        <v>0.10687166152202347</v>
      </c>
      <c r="Q102" s="419"/>
    </row>
    <row r="103" spans="1:17" ht="29.45">
      <c r="A103" s="3469"/>
      <c r="B103" s="3472"/>
      <c r="C103" s="3481"/>
      <c r="D103" s="3477"/>
      <c r="E103" s="422" t="s">
        <v>150</v>
      </c>
      <c r="F103" s="397" t="s">
        <v>29</v>
      </c>
      <c r="G103" s="397" t="s">
        <v>29</v>
      </c>
      <c r="H103" s="398" t="str">
        <f>'[1]Noise Complaints'!G10</f>
        <v>n/a</v>
      </c>
      <c r="I103" s="398" t="str">
        <f>'[1]Noise Complaints'!H10</f>
        <v>n/a</v>
      </c>
      <c r="J103" s="398" t="str">
        <f>'[1]Noise Complaints'!I10</f>
        <v>n/a</v>
      </c>
      <c r="K103" s="398">
        <f>'[1]Noise Complaints'!K16</f>
        <v>63</v>
      </c>
      <c r="L103" s="398">
        <f>'[1]Noise Complaints'!N16</f>
        <v>125</v>
      </c>
      <c r="M103" s="423">
        <f>'[1]Noise Complaints'!Q16</f>
        <v>128</v>
      </c>
      <c r="N103" s="846">
        <v>696</v>
      </c>
      <c r="O103" s="846">
        <v>622</v>
      </c>
      <c r="P103" s="254">
        <f t="shared" ref="P103:P104" si="9">(O103-N103)/N103</f>
        <v>-0.10632183908045977</v>
      </c>
      <c r="Q103" s="427"/>
    </row>
    <row r="104" spans="1:17" ht="29.45">
      <c r="A104" s="3469"/>
      <c r="B104" s="3472"/>
      <c r="C104" s="3481"/>
      <c r="D104" s="3477"/>
      <c r="E104" s="422" t="s">
        <v>151</v>
      </c>
      <c r="F104" s="397" t="s">
        <v>29</v>
      </c>
      <c r="G104" s="397" t="s">
        <v>29</v>
      </c>
      <c r="H104" s="474">
        <f>'[1]Noise Complaints'!H17</f>
        <v>259.18289085545723</v>
      </c>
      <c r="I104" s="474">
        <f>'[1]Noise Complaints'!I17</f>
        <v>157.171862509992</v>
      </c>
      <c r="J104" s="474">
        <f>'[1]Noise Complaints'!J17</f>
        <v>321.36392405063293</v>
      </c>
      <c r="K104" s="474">
        <f>'[1]Noise Complaints'!K17</f>
        <v>306.88145896656533</v>
      </c>
      <c r="L104" s="474">
        <f>'[1]Noise Complaints'!N17</f>
        <v>193.67655786350147</v>
      </c>
      <c r="M104" s="474">
        <f>'[1]Noise Complaints'!Q17</f>
        <v>174.97652582159625</v>
      </c>
      <c r="N104" s="848">
        <v>67</v>
      </c>
      <c r="O104" s="848">
        <v>117</v>
      </c>
      <c r="P104" s="254">
        <f t="shared" si="9"/>
        <v>0.74626865671641796</v>
      </c>
      <c r="Q104" s="407"/>
    </row>
    <row r="105" spans="1:17" ht="60" thickBot="1">
      <c r="A105" s="3470"/>
      <c r="B105" s="3473"/>
      <c r="C105" s="429" t="s">
        <v>152</v>
      </c>
      <c r="D105" s="430">
        <v>2025</v>
      </c>
      <c r="E105" s="431" t="s">
        <v>22</v>
      </c>
      <c r="F105" s="432" t="s">
        <v>23</v>
      </c>
      <c r="G105" s="432" t="s">
        <v>23</v>
      </c>
      <c r="H105" s="433" t="s">
        <v>24</v>
      </c>
      <c r="I105" s="433" t="s">
        <v>24</v>
      </c>
      <c r="J105" s="433" t="s">
        <v>24</v>
      </c>
      <c r="K105" s="433" t="s">
        <v>24</v>
      </c>
      <c r="L105" s="434" t="s">
        <v>24</v>
      </c>
      <c r="M105" s="435" t="s">
        <v>27</v>
      </c>
      <c r="N105" s="849"/>
      <c r="O105" s="849"/>
      <c r="P105" s="435"/>
      <c r="Q105" s="436"/>
    </row>
    <row r="106" spans="1:17">
      <c r="C106" s="230"/>
      <c r="D106" s="230"/>
      <c r="P106" s="230"/>
    </row>
    <row r="107" spans="1:17">
      <c r="C107" s="230"/>
      <c r="D107" s="230"/>
      <c r="P107" s="230"/>
    </row>
    <row r="108" spans="1:17">
      <c r="C108" s="230"/>
      <c r="D108" s="230"/>
      <c r="P108" s="230"/>
    </row>
    <row r="109" spans="1:17">
      <c r="A109" s="440"/>
      <c r="B109" s="441"/>
      <c r="C109" s="230"/>
      <c r="D109" s="230"/>
      <c r="P109" s="230"/>
    </row>
    <row r="110" spans="1:17" ht="27">
      <c r="A110" s="442"/>
      <c r="B110" s="443"/>
      <c r="C110" s="230"/>
      <c r="D110" s="230"/>
      <c r="P110" s="230"/>
    </row>
    <row r="111" spans="1:17" ht="27">
      <c r="A111" s="475"/>
      <c r="B111" s="476"/>
      <c r="C111" s="230"/>
      <c r="D111" s="439"/>
    </row>
    <row r="112" spans="1:17">
      <c r="A112" s="438"/>
      <c r="C112" s="230"/>
      <c r="D112" s="439"/>
    </row>
  </sheetData>
  <autoFilter ref="A2:R105" xr:uid="{F8FC10CC-3961-4054-9E7C-A4A6B7B0FD8D}">
    <filterColumn colId="6">
      <filters>
        <filter val="ü"/>
      </filters>
    </filterColumn>
  </autoFilter>
  <mergeCells count="32">
    <mergeCell ref="A80:A105"/>
    <mergeCell ref="B80:B105"/>
    <mergeCell ref="C83:C84"/>
    <mergeCell ref="D83:D84"/>
    <mergeCell ref="C90:C91"/>
    <mergeCell ref="C92:C99"/>
    <mergeCell ref="C100:C104"/>
    <mergeCell ref="D100:D104"/>
    <mergeCell ref="A38:A79"/>
    <mergeCell ref="B38:B79"/>
    <mergeCell ref="C39:C42"/>
    <mergeCell ref="C43:C44"/>
    <mergeCell ref="D43:D44"/>
    <mergeCell ref="C45:C50"/>
    <mergeCell ref="D45:D50"/>
    <mergeCell ref="C55:C56"/>
    <mergeCell ref="D55:D56"/>
    <mergeCell ref="C58:C62"/>
    <mergeCell ref="D58:D62"/>
    <mergeCell ref="C65:C68"/>
    <mergeCell ref="D65:D68"/>
    <mergeCell ref="C71:C72"/>
    <mergeCell ref="C73:C74"/>
    <mergeCell ref="A3:A37"/>
    <mergeCell ref="B3:B37"/>
    <mergeCell ref="C4:C11"/>
    <mergeCell ref="C12:C16"/>
    <mergeCell ref="D12:D16"/>
    <mergeCell ref="C19:C22"/>
    <mergeCell ref="D19:D22"/>
    <mergeCell ref="C27:C30"/>
    <mergeCell ref="C36:C37"/>
  </mergeCells>
  <pageMargins left="0.7" right="0.7" top="0.75" bottom="0.75" header="0.3" footer="0.3"/>
  <pageSetup paperSize="9" scale="27" fitToHeight="0" orientation="landscape" r:id="rId1"/>
  <headerFooter>
    <oddHeader>&amp;L&amp;"Arial,Regular"&amp;9M.A.G CSR Data Reporting Spreadsheet
&amp;R&amp;G</oddHeader>
    <oddFooter>&amp;C&amp;"Arial,Regular"&amp;9
Produced by Simply Sustainable Ltd
_x000D_&amp;1#&amp;"Calibri"&amp;10&amp;K000000 C2 - Internal</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C99CA-2CD5-463A-9EC3-E46B578B8AF2}">
  <sheetPr codeName="Sheet8">
    <tabColor theme="0"/>
  </sheetPr>
  <dimension ref="A1:J69"/>
  <sheetViews>
    <sheetView showGridLines="0" zoomScaleNormal="100" workbookViewId="0"/>
  </sheetViews>
  <sheetFormatPr defaultRowHeight="14.45"/>
  <cols>
    <col min="1" max="1" width="3.28515625" customWidth="1"/>
    <col min="2" max="2" width="21.7109375" customWidth="1"/>
    <col min="3" max="3" width="47" customWidth="1"/>
    <col min="4" max="7" width="10" customWidth="1"/>
    <col min="8" max="10" width="10" bestFit="1" customWidth="1"/>
  </cols>
  <sheetData>
    <row r="1" spans="1:10" ht="17.45">
      <c r="A1" s="15" t="s">
        <v>159</v>
      </c>
    </row>
    <row r="2" spans="1:10" ht="17.45">
      <c r="A2" s="15" t="s">
        <v>160</v>
      </c>
      <c r="C2" s="20"/>
      <c r="D2" s="20"/>
      <c r="E2" s="20"/>
    </row>
    <row r="3" spans="1:10" ht="15" thickBot="1">
      <c r="B3" s="504"/>
      <c r="C3" s="504"/>
      <c r="H3" s="504"/>
      <c r="I3" s="504"/>
      <c r="J3" s="504"/>
    </row>
    <row r="4" spans="1:10" ht="15" thickBot="1">
      <c r="A4" s="1841"/>
      <c r="B4" s="2227" t="s">
        <v>161</v>
      </c>
      <c r="C4" s="2228" t="s">
        <v>162</v>
      </c>
      <c r="D4" s="2224" t="s">
        <v>12</v>
      </c>
      <c r="E4" s="2225" t="s">
        <v>13</v>
      </c>
      <c r="F4" s="2225" t="s">
        <v>14</v>
      </c>
      <c r="G4" s="2225" t="s">
        <v>15</v>
      </c>
      <c r="H4" s="2225" t="s">
        <v>16</v>
      </c>
      <c r="I4" s="2225" t="s">
        <v>163</v>
      </c>
      <c r="J4" s="2226" t="s">
        <v>164</v>
      </c>
    </row>
    <row r="5" spans="1:10">
      <c r="A5" s="2660"/>
      <c r="B5" s="3482" t="s">
        <v>165</v>
      </c>
      <c r="C5" s="1838" t="s">
        <v>166</v>
      </c>
      <c r="D5" s="2215"/>
      <c r="E5" s="2216"/>
      <c r="F5" s="2216"/>
      <c r="G5" s="2666"/>
      <c r="H5" s="2216"/>
      <c r="I5" s="2216"/>
      <c r="J5" s="3018">
        <v>0.5262</v>
      </c>
    </row>
    <row r="6" spans="1:10">
      <c r="A6" s="2660"/>
      <c r="B6" s="3483"/>
      <c r="C6" s="3106" t="s">
        <v>167</v>
      </c>
      <c r="D6" s="2664"/>
      <c r="E6" s="2665"/>
      <c r="F6" s="2665"/>
      <c r="G6" s="2667"/>
      <c r="H6" s="2665"/>
      <c r="I6" s="2665"/>
      <c r="J6" s="3018">
        <v>0.21129999999999999</v>
      </c>
    </row>
    <row r="7" spans="1:10">
      <c r="A7" s="2660"/>
      <c r="B7" s="3483"/>
      <c r="C7" s="2661" t="s">
        <v>168</v>
      </c>
      <c r="D7" s="2662"/>
      <c r="E7" s="2663"/>
      <c r="F7" s="2663"/>
      <c r="G7" s="2668"/>
      <c r="H7" s="2663"/>
      <c r="I7" s="2663"/>
      <c r="J7" s="3018">
        <v>0.1658</v>
      </c>
    </row>
    <row r="8" spans="1:10" ht="13.9" customHeight="1">
      <c r="A8" s="2660"/>
      <c r="B8" s="3483"/>
      <c r="C8" s="1840" t="s">
        <v>169</v>
      </c>
      <c r="D8" s="2664"/>
      <c r="E8" s="2665"/>
      <c r="F8" s="2665"/>
      <c r="G8" s="2667"/>
      <c r="H8" s="2665"/>
      <c r="I8" s="2665"/>
      <c r="J8" s="3018">
        <v>9.6699999999999994E-2</v>
      </c>
    </row>
    <row r="9" spans="1:10">
      <c r="A9" s="3488"/>
      <c r="B9" s="3483"/>
      <c r="C9" s="2661" t="s">
        <v>170</v>
      </c>
      <c r="D9" s="2211">
        <v>0.62373615792007708</v>
      </c>
      <c r="E9" s="2205">
        <v>0.67333984375</v>
      </c>
      <c r="F9" s="2205">
        <v>0.69169072826435674</v>
      </c>
      <c r="G9" s="2205">
        <v>0.746</v>
      </c>
      <c r="H9" s="2205">
        <v>0.75160000000000005</v>
      </c>
      <c r="I9" s="2205">
        <v>0.73450000000000004</v>
      </c>
      <c r="J9" s="3018">
        <v>0.73750000000000004</v>
      </c>
    </row>
    <row r="10" spans="1:10" ht="15" customHeight="1" thickBot="1">
      <c r="A10" s="3488"/>
      <c r="B10" s="3484"/>
      <c r="C10" s="1839" t="s">
        <v>171</v>
      </c>
      <c r="D10" s="2212">
        <v>0.37626384207992297</v>
      </c>
      <c r="E10" s="2206">
        <v>0.32666015625</v>
      </c>
      <c r="F10" s="2206">
        <v>0.30830927173564326</v>
      </c>
      <c r="G10" s="2206">
        <v>0.254</v>
      </c>
      <c r="H10" s="2206">
        <v>0.24840000000000001</v>
      </c>
      <c r="I10" s="2206">
        <v>0.26550000000000001</v>
      </c>
      <c r="J10" s="3019">
        <v>0.26250000000000001</v>
      </c>
    </row>
    <row r="11" spans="1:10" ht="15" customHeight="1">
      <c r="A11" s="3488"/>
      <c r="B11" s="3482" t="s">
        <v>172</v>
      </c>
      <c r="C11" s="1838" t="s">
        <v>166</v>
      </c>
      <c r="D11" s="2215"/>
      <c r="E11" s="2216"/>
      <c r="F11" s="2216"/>
      <c r="G11" s="2666"/>
      <c r="H11" s="2216"/>
      <c r="I11" s="2216"/>
      <c r="J11" s="3018">
        <v>0.38350000000000001</v>
      </c>
    </row>
    <row r="12" spans="1:10" ht="15" customHeight="1">
      <c r="A12" s="3488"/>
      <c r="B12" s="3483"/>
      <c r="C12" s="3106" t="s">
        <v>167</v>
      </c>
      <c r="D12" s="2664"/>
      <c r="E12" s="2665"/>
      <c r="F12" s="2665"/>
      <c r="G12" s="2667"/>
      <c r="H12" s="2665"/>
      <c r="I12" s="2665"/>
      <c r="J12" s="3018">
        <v>0.19980000000000001</v>
      </c>
    </row>
    <row r="13" spans="1:10" ht="15" customHeight="1">
      <c r="A13" s="3488"/>
      <c r="B13" s="3483"/>
      <c r="C13" s="2661" t="s">
        <v>168</v>
      </c>
      <c r="D13" s="2662"/>
      <c r="E13" s="2663"/>
      <c r="F13" s="2663"/>
      <c r="G13" s="2668"/>
      <c r="H13" s="2663"/>
      <c r="I13" s="2663"/>
      <c r="J13" s="3018">
        <v>0.20080000000000001</v>
      </c>
    </row>
    <row r="14" spans="1:10" ht="15" customHeight="1">
      <c r="A14" s="3488"/>
      <c r="B14" s="3483"/>
      <c r="C14" s="1840" t="s">
        <v>169</v>
      </c>
      <c r="D14" s="2662"/>
      <c r="E14" s="2663"/>
      <c r="F14" s="2663"/>
      <c r="G14" s="2668"/>
      <c r="H14" s="2663"/>
      <c r="I14" s="2663"/>
      <c r="J14" s="3018">
        <v>0.21590000000000001</v>
      </c>
    </row>
    <row r="15" spans="1:10" ht="15" customHeight="1">
      <c r="A15" s="3488"/>
      <c r="B15" s="3483"/>
      <c r="C15" s="2661" t="s">
        <v>173</v>
      </c>
      <c r="D15" s="2211">
        <v>0.62373615792007708</v>
      </c>
      <c r="E15" s="2205">
        <v>0.67333984375</v>
      </c>
      <c r="F15" s="2205">
        <v>0.69169072826435674</v>
      </c>
      <c r="G15" s="2205">
        <v>0.746</v>
      </c>
      <c r="H15" s="2205">
        <v>0.75160000000000005</v>
      </c>
      <c r="I15" s="2205">
        <v>0.73450000000000004</v>
      </c>
      <c r="J15" s="3018">
        <v>0.58330000000000004</v>
      </c>
    </row>
    <row r="16" spans="1:10" ht="15" customHeight="1" thickBot="1">
      <c r="A16" s="3488"/>
      <c r="B16" s="3484"/>
      <c r="C16" s="1839" t="s">
        <v>174</v>
      </c>
      <c r="D16" s="2213">
        <v>0.40086830680173663</v>
      </c>
      <c r="E16" s="2206">
        <v>0.37950937950937952</v>
      </c>
      <c r="F16" s="2206">
        <v>0.38111888111888109</v>
      </c>
      <c r="G16" s="2207">
        <v>0.30170000000000002</v>
      </c>
      <c r="H16" s="2207">
        <v>0.36220000000000002</v>
      </c>
      <c r="I16" s="2206">
        <v>0.38279999999999997</v>
      </c>
      <c r="J16" s="3019">
        <v>0.41670000000000001</v>
      </c>
    </row>
    <row r="17" spans="1:10" ht="15" customHeight="1">
      <c r="A17" s="3488"/>
      <c r="B17" s="3482" t="s">
        <v>175</v>
      </c>
      <c r="C17" s="1838" t="s">
        <v>166</v>
      </c>
      <c r="D17" s="2215"/>
      <c r="E17" s="2216"/>
      <c r="F17" s="2216"/>
      <c r="G17" s="2666"/>
      <c r="H17" s="2216"/>
      <c r="I17" s="2216"/>
      <c r="J17" s="3018">
        <v>0.42030000000000001</v>
      </c>
    </row>
    <row r="18" spans="1:10" ht="15" customHeight="1">
      <c r="A18" s="3488"/>
      <c r="B18" s="3483"/>
      <c r="C18" s="3106" t="s">
        <v>167</v>
      </c>
      <c r="D18" s="2664"/>
      <c r="E18" s="2665"/>
      <c r="F18" s="2665"/>
      <c r="G18" s="2667"/>
      <c r="H18" s="2665"/>
      <c r="I18" s="2665"/>
      <c r="J18" s="3018">
        <v>0.22889999999999999</v>
      </c>
    </row>
    <row r="19" spans="1:10" ht="15" customHeight="1">
      <c r="A19" s="3488"/>
      <c r="B19" s="3483"/>
      <c r="C19" s="2661" t="s">
        <v>168</v>
      </c>
      <c r="D19" s="2662"/>
      <c r="E19" s="2663"/>
      <c r="F19" s="2663"/>
      <c r="G19" s="2668"/>
      <c r="H19" s="2663"/>
      <c r="I19" s="2663"/>
      <c r="J19" s="3018">
        <v>0.16689999999999999</v>
      </c>
    </row>
    <row r="20" spans="1:10" ht="15" customHeight="1" thickBot="1">
      <c r="A20" s="3488"/>
      <c r="B20" s="3483"/>
      <c r="C20" s="1840" t="s">
        <v>169</v>
      </c>
      <c r="D20" s="2662"/>
      <c r="E20" s="2663"/>
      <c r="F20" s="2663"/>
      <c r="G20" s="2668"/>
      <c r="H20" s="2663"/>
      <c r="I20" s="2663"/>
      <c r="J20" s="3018">
        <v>0.18390000000000001</v>
      </c>
    </row>
    <row r="21" spans="1:10" ht="15" customHeight="1">
      <c r="A21" s="3488"/>
      <c r="B21" s="3483"/>
      <c r="C21" s="2661" t="s">
        <v>173</v>
      </c>
      <c r="D21" s="2214">
        <v>0.57102803738317753</v>
      </c>
      <c r="E21" s="2205">
        <v>0.61141060197663966</v>
      </c>
      <c r="F21" s="2205">
        <v>0.67482292337411465</v>
      </c>
      <c r="G21" s="2208">
        <v>0.66830000000000001</v>
      </c>
      <c r="H21" s="2208">
        <v>0.623</v>
      </c>
      <c r="I21" s="2205">
        <v>0.61009999999999998</v>
      </c>
      <c r="J21" s="3018">
        <v>0.6492</v>
      </c>
    </row>
    <row r="22" spans="1:10" ht="15" customHeight="1" thickBot="1">
      <c r="A22" s="3488"/>
      <c r="B22" s="3484"/>
      <c r="C22" s="1839" t="s">
        <v>174</v>
      </c>
      <c r="D22" s="2212">
        <v>0.42897196261682241</v>
      </c>
      <c r="E22" s="2206">
        <v>0.38858939802336029</v>
      </c>
      <c r="F22" s="2206">
        <v>0.32517707662588541</v>
      </c>
      <c r="G22" s="2206">
        <v>0.33169999999999999</v>
      </c>
      <c r="H22" s="2206">
        <v>0.377</v>
      </c>
      <c r="I22" s="2206">
        <v>0.38990000000000002</v>
      </c>
      <c r="J22" s="3019">
        <v>0.3508</v>
      </c>
    </row>
    <row r="23" spans="1:10" ht="15" customHeight="1">
      <c r="A23" s="3488"/>
      <c r="B23" s="3489" t="s">
        <v>176</v>
      </c>
      <c r="C23" s="1838" t="s">
        <v>166</v>
      </c>
      <c r="D23" s="2215"/>
      <c r="E23" s="2216"/>
      <c r="F23" s="2216"/>
      <c r="G23" s="2666"/>
      <c r="H23" s="2216"/>
      <c r="I23" s="2216"/>
      <c r="J23" s="3018">
        <v>0.39029999999999998</v>
      </c>
    </row>
    <row r="24" spans="1:10" ht="15" customHeight="1">
      <c r="A24" s="3488"/>
      <c r="B24" s="3490"/>
      <c r="C24" s="3106" t="s">
        <v>167</v>
      </c>
      <c r="D24" s="2664"/>
      <c r="E24" s="2665"/>
      <c r="F24" s="2665"/>
      <c r="G24" s="2667"/>
      <c r="H24" s="2665"/>
      <c r="I24" s="2665"/>
      <c r="J24" s="3018">
        <v>0.3407</v>
      </c>
    </row>
    <row r="25" spans="1:10" ht="15" customHeight="1">
      <c r="A25" s="3488"/>
      <c r="B25" s="3490"/>
      <c r="C25" s="2661" t="s">
        <v>168</v>
      </c>
      <c r="D25" s="2662"/>
      <c r="E25" s="2663"/>
      <c r="F25" s="2663"/>
      <c r="G25" s="2668"/>
      <c r="H25" s="2663"/>
      <c r="I25" s="2663"/>
      <c r="J25" s="3018">
        <v>8.4900000000000003E-2</v>
      </c>
    </row>
    <row r="26" spans="1:10" ht="15" customHeight="1">
      <c r="A26" s="3488"/>
      <c r="B26" s="3490"/>
      <c r="C26" s="1840" t="s">
        <v>169</v>
      </c>
      <c r="D26" s="2662"/>
      <c r="E26" s="2663"/>
      <c r="F26" s="2663"/>
      <c r="G26" s="2668"/>
      <c r="H26" s="2663"/>
      <c r="I26" s="2663"/>
      <c r="J26" s="3018">
        <v>0.18410000000000001</v>
      </c>
    </row>
    <row r="27" spans="1:10" ht="15" customHeight="1">
      <c r="A27" s="3488"/>
      <c r="B27" s="3490"/>
      <c r="C27" s="2661" t="s">
        <v>173</v>
      </c>
      <c r="D27" s="1247">
        <v>0</v>
      </c>
      <c r="E27" s="1247">
        <v>0</v>
      </c>
      <c r="F27" s="2205">
        <v>0</v>
      </c>
      <c r="G27" s="1247">
        <v>0</v>
      </c>
      <c r="H27" s="1247">
        <v>0</v>
      </c>
      <c r="I27" s="1247">
        <v>0</v>
      </c>
      <c r="J27" s="3018">
        <v>0.73109999999999997</v>
      </c>
    </row>
    <row r="28" spans="1:10" ht="15" customHeight="1" thickBot="1">
      <c r="A28" s="3488"/>
      <c r="B28" s="3491"/>
      <c r="C28" s="1839" t="s">
        <v>174</v>
      </c>
      <c r="D28" s="2219">
        <v>0</v>
      </c>
      <c r="E28" s="2206">
        <v>0</v>
      </c>
      <c r="F28" s="2206">
        <v>0</v>
      </c>
      <c r="G28" s="1247">
        <v>0</v>
      </c>
      <c r="H28" s="1247">
        <v>0</v>
      </c>
      <c r="I28" s="1247">
        <v>0</v>
      </c>
      <c r="J28" s="3019">
        <v>0.26889999999999997</v>
      </c>
    </row>
    <row r="29" spans="1:10" ht="15" customHeight="1">
      <c r="A29" s="3488"/>
      <c r="B29" s="3482" t="s">
        <v>177</v>
      </c>
      <c r="C29" s="1838" t="s">
        <v>166</v>
      </c>
      <c r="D29" s="2215"/>
      <c r="E29" s="2216"/>
      <c r="F29" s="2216"/>
      <c r="G29" s="2666"/>
      <c r="H29" s="2216"/>
      <c r="I29" s="2216"/>
      <c r="J29" s="3018">
        <v>0.81820000000000004</v>
      </c>
    </row>
    <row r="30" spans="1:10" ht="15" customHeight="1">
      <c r="A30" s="3488"/>
      <c r="B30" s="3483"/>
      <c r="C30" s="3106" t="s">
        <v>167</v>
      </c>
      <c r="D30" s="2664"/>
      <c r="E30" s="2665"/>
      <c r="F30" s="2665"/>
      <c r="G30" s="2667"/>
      <c r="H30" s="2665"/>
      <c r="I30" s="2665"/>
      <c r="J30" s="3018">
        <v>0.18179999999999999</v>
      </c>
    </row>
    <row r="31" spans="1:10" ht="15" customHeight="1">
      <c r="A31" s="3488"/>
      <c r="B31" s="3483"/>
      <c r="C31" s="2661" t="s">
        <v>168</v>
      </c>
      <c r="D31" s="2662"/>
      <c r="E31" s="2663"/>
      <c r="F31" s="2663"/>
      <c r="G31" s="2668"/>
      <c r="H31" s="2663"/>
      <c r="I31" s="2663"/>
      <c r="J31" s="3018">
        <v>0</v>
      </c>
    </row>
    <row r="32" spans="1:10" ht="15" customHeight="1">
      <c r="A32" s="3488"/>
      <c r="B32" s="3483"/>
      <c r="C32" s="1840" t="s">
        <v>169</v>
      </c>
      <c r="D32" s="2662"/>
      <c r="E32" s="2663"/>
      <c r="F32" s="2663"/>
      <c r="G32" s="2668"/>
      <c r="H32" s="2663"/>
      <c r="I32" s="2663"/>
      <c r="J32" s="3018">
        <v>0</v>
      </c>
    </row>
    <row r="33" spans="1:10" ht="15" customHeight="1">
      <c r="A33" s="3488"/>
      <c r="B33" s="3483"/>
      <c r="C33" s="2661" t="s">
        <v>173</v>
      </c>
      <c r="D33" s="2211">
        <v>0.83333333333333337</v>
      </c>
      <c r="E33" s="2205">
        <v>0.89999999999999991</v>
      </c>
      <c r="F33" s="2205">
        <v>1</v>
      </c>
      <c r="G33" s="2205">
        <v>1</v>
      </c>
      <c r="H33" s="2205">
        <v>1</v>
      </c>
      <c r="I33" s="2205">
        <v>1</v>
      </c>
      <c r="J33" s="3018">
        <v>1</v>
      </c>
    </row>
    <row r="34" spans="1:10" ht="15" customHeight="1" thickBot="1">
      <c r="A34" s="3488"/>
      <c r="B34" s="3484"/>
      <c r="C34" s="1839" t="s">
        <v>174</v>
      </c>
      <c r="D34" s="2212">
        <v>0.16666666666666666</v>
      </c>
      <c r="E34" s="2206">
        <v>0.1</v>
      </c>
      <c r="F34" s="2206">
        <v>0</v>
      </c>
      <c r="G34" s="2206">
        <v>0</v>
      </c>
      <c r="H34" s="2206">
        <v>0</v>
      </c>
      <c r="I34" s="2206">
        <v>0</v>
      </c>
      <c r="J34" s="3019">
        <v>0</v>
      </c>
    </row>
    <row r="35" spans="1:10" ht="15" customHeight="1">
      <c r="A35" s="3488"/>
      <c r="B35" s="3482" t="s">
        <v>178</v>
      </c>
      <c r="C35" s="1838" t="s">
        <v>166</v>
      </c>
      <c r="D35" s="2215"/>
      <c r="E35" s="2216"/>
      <c r="F35" s="2216"/>
      <c r="G35" s="2666"/>
      <c r="H35" s="2216"/>
      <c r="I35" s="2216"/>
      <c r="J35" s="3018">
        <v>0.48</v>
      </c>
    </row>
    <row r="36" spans="1:10" ht="15" customHeight="1">
      <c r="A36" s="3488"/>
      <c r="B36" s="3483"/>
      <c r="C36" s="3106" t="s">
        <v>167</v>
      </c>
      <c r="D36" s="2664"/>
      <c r="E36" s="2665"/>
      <c r="F36" s="2665"/>
      <c r="G36" s="2667"/>
      <c r="H36" s="2665"/>
      <c r="I36" s="2665"/>
      <c r="J36" s="3018">
        <v>0.52</v>
      </c>
    </row>
    <row r="37" spans="1:10" ht="15" customHeight="1">
      <c r="A37" s="3488"/>
      <c r="B37" s="3483"/>
      <c r="C37" s="2661" t="s">
        <v>168</v>
      </c>
      <c r="D37" s="2662"/>
      <c r="E37" s="2663"/>
      <c r="F37" s="2663"/>
      <c r="G37" s="2668"/>
      <c r="H37" s="2663"/>
      <c r="I37" s="2663"/>
      <c r="J37" s="3018">
        <v>0</v>
      </c>
    </row>
    <row r="38" spans="1:10" ht="15" customHeight="1">
      <c r="A38" s="3488"/>
      <c r="B38" s="3483"/>
      <c r="C38" s="1840" t="s">
        <v>169</v>
      </c>
      <c r="D38" s="2662"/>
      <c r="E38" s="2663"/>
      <c r="F38" s="2663"/>
      <c r="G38" s="2668"/>
      <c r="H38" s="2663"/>
      <c r="I38" s="2663"/>
      <c r="J38" s="3018">
        <v>0</v>
      </c>
    </row>
    <row r="39" spans="1:10" ht="15" customHeight="1">
      <c r="A39" s="3488"/>
      <c r="B39" s="3483"/>
      <c r="C39" s="1838" t="s">
        <v>173</v>
      </c>
      <c r="D39" s="2211">
        <v>1</v>
      </c>
      <c r="E39" s="2205">
        <v>1</v>
      </c>
      <c r="F39" s="2205">
        <v>1</v>
      </c>
      <c r="G39" s="2205">
        <v>1</v>
      </c>
      <c r="H39" s="2205">
        <v>1</v>
      </c>
      <c r="I39" s="2205">
        <v>1</v>
      </c>
      <c r="J39" s="3018">
        <v>1</v>
      </c>
    </row>
    <row r="40" spans="1:10" ht="15" customHeight="1" thickBot="1">
      <c r="A40" s="3488"/>
      <c r="B40" s="3484"/>
      <c r="C40" s="1839" t="s">
        <v>174</v>
      </c>
      <c r="D40" s="2212">
        <v>0</v>
      </c>
      <c r="E40" s="2206">
        <v>0</v>
      </c>
      <c r="F40" s="2206">
        <v>0</v>
      </c>
      <c r="G40" s="2206">
        <v>0</v>
      </c>
      <c r="H40" s="2206">
        <v>0</v>
      </c>
      <c r="I40" s="2206">
        <v>0</v>
      </c>
      <c r="J40" s="3019">
        <v>0</v>
      </c>
    </row>
    <row r="41" spans="1:10" ht="15" customHeight="1">
      <c r="A41" s="3488"/>
      <c r="B41" s="3482" t="s">
        <v>179</v>
      </c>
      <c r="C41" s="1838" t="s">
        <v>166</v>
      </c>
      <c r="D41" s="2215"/>
      <c r="E41" s="2216"/>
      <c r="F41" s="2216"/>
      <c r="G41" s="2666"/>
      <c r="H41" s="2216"/>
      <c r="I41" s="2216"/>
      <c r="J41" s="3018" t="s">
        <v>180</v>
      </c>
    </row>
    <row r="42" spans="1:10" ht="15" customHeight="1">
      <c r="A42" s="3488"/>
      <c r="B42" s="3483"/>
      <c r="C42" s="3106" t="s">
        <v>167</v>
      </c>
      <c r="D42" s="2664"/>
      <c r="E42" s="2665"/>
      <c r="F42" s="2665"/>
      <c r="G42" s="2667"/>
      <c r="H42" s="2665"/>
      <c r="I42" s="2665"/>
      <c r="J42" s="3018" t="s">
        <v>180</v>
      </c>
    </row>
    <row r="43" spans="1:10" ht="15" customHeight="1">
      <c r="A43" s="3488"/>
      <c r="B43" s="3483"/>
      <c r="C43" s="2661" t="s">
        <v>168</v>
      </c>
      <c r="D43" s="2662"/>
      <c r="E43" s="2663"/>
      <c r="F43" s="2663"/>
      <c r="G43" s="2668"/>
      <c r="H43" s="2663"/>
      <c r="I43" s="2663"/>
      <c r="J43" s="3018" t="s">
        <v>180</v>
      </c>
    </row>
    <row r="44" spans="1:10" ht="15" customHeight="1">
      <c r="A44" s="3488"/>
      <c r="B44" s="3483"/>
      <c r="C44" s="1840" t="s">
        <v>169</v>
      </c>
      <c r="D44" s="2662"/>
      <c r="E44" s="2663"/>
      <c r="F44" s="2663"/>
      <c r="G44" s="2668"/>
      <c r="H44" s="2663"/>
      <c r="I44" s="2663"/>
      <c r="J44" s="3018" t="s">
        <v>180</v>
      </c>
    </row>
    <row r="45" spans="1:10" ht="15" customHeight="1">
      <c r="A45" s="3488"/>
      <c r="B45" s="3483"/>
      <c r="C45" s="1838" t="s">
        <v>173</v>
      </c>
      <c r="D45" s="2211">
        <v>0</v>
      </c>
      <c r="E45" s="2205">
        <v>0</v>
      </c>
      <c r="F45" s="2205">
        <v>0</v>
      </c>
      <c r="G45" s="2205">
        <v>0</v>
      </c>
      <c r="H45" s="2205">
        <v>0</v>
      </c>
      <c r="I45" s="2205">
        <v>0</v>
      </c>
      <c r="J45" s="3018" t="s">
        <v>180</v>
      </c>
    </row>
    <row r="46" spans="1:10" ht="15" customHeight="1" thickBot="1">
      <c r="A46" s="3488"/>
      <c r="B46" s="3484"/>
      <c r="C46" s="1839" t="s">
        <v>174</v>
      </c>
      <c r="D46" s="2212">
        <v>0</v>
      </c>
      <c r="E46" s="2206">
        <v>0</v>
      </c>
      <c r="F46" s="2206">
        <v>0</v>
      </c>
      <c r="G46" s="2206">
        <v>0</v>
      </c>
      <c r="H46" s="2206">
        <v>0</v>
      </c>
      <c r="I46" s="2206">
        <v>0</v>
      </c>
      <c r="J46" s="3019" t="s">
        <v>180</v>
      </c>
    </row>
    <row r="47" spans="1:10" ht="15" customHeight="1">
      <c r="A47" s="3488"/>
      <c r="B47" s="3482" t="s">
        <v>181</v>
      </c>
      <c r="C47" s="1838" t="s">
        <v>166</v>
      </c>
      <c r="D47" s="2215"/>
      <c r="E47" s="2216"/>
      <c r="F47" s="2216"/>
      <c r="G47" s="2666"/>
      <c r="H47" s="2216"/>
      <c r="I47" s="2216"/>
      <c r="J47" s="3018">
        <v>0.36899999999999999</v>
      </c>
    </row>
    <row r="48" spans="1:10" ht="15" customHeight="1">
      <c r="A48" s="3488"/>
      <c r="B48" s="3483"/>
      <c r="C48" s="3106" t="s">
        <v>167</v>
      </c>
      <c r="D48" s="2664"/>
      <c r="E48" s="2665"/>
      <c r="F48" s="2665"/>
      <c r="G48" s="2667"/>
      <c r="H48" s="2665"/>
      <c r="I48" s="2665"/>
      <c r="J48" s="3018">
        <v>0.26190000000000002</v>
      </c>
    </row>
    <row r="49" spans="1:10" ht="15" customHeight="1">
      <c r="A49" s="3488"/>
      <c r="B49" s="3483"/>
      <c r="C49" s="2661" t="s">
        <v>168</v>
      </c>
      <c r="D49" s="2662"/>
      <c r="E49" s="2663"/>
      <c r="F49" s="2663"/>
      <c r="G49" s="2668"/>
      <c r="H49" s="2663"/>
      <c r="I49" s="2663"/>
      <c r="J49" s="3018">
        <v>0.15479999999999999</v>
      </c>
    </row>
    <row r="50" spans="1:10" ht="15" customHeight="1">
      <c r="A50" s="3488"/>
      <c r="B50" s="3483"/>
      <c r="C50" s="1840" t="s">
        <v>169</v>
      </c>
      <c r="D50" s="2664"/>
      <c r="E50" s="2665"/>
      <c r="F50" s="2665"/>
      <c r="G50" s="2668"/>
      <c r="H50" s="2663"/>
      <c r="I50" s="2663"/>
      <c r="J50" s="3018">
        <v>0.21429999999999999</v>
      </c>
    </row>
    <row r="51" spans="1:10" ht="15" customHeight="1">
      <c r="A51" s="3488"/>
      <c r="B51" s="3483"/>
      <c r="C51" s="1838" t="s">
        <v>173</v>
      </c>
      <c r="D51" s="2662"/>
      <c r="E51" s="2663"/>
      <c r="F51" s="2663"/>
      <c r="G51" s="2205" t="s">
        <v>24</v>
      </c>
      <c r="H51" s="2205" t="s">
        <v>24</v>
      </c>
      <c r="I51" s="2205">
        <v>0.58330000000000004</v>
      </c>
      <c r="J51" s="3018">
        <v>0.63100000000000001</v>
      </c>
    </row>
    <row r="52" spans="1:10" ht="15" customHeight="1" thickBot="1">
      <c r="A52" s="3488"/>
      <c r="B52" s="3484"/>
      <c r="C52" s="1839" t="s">
        <v>174</v>
      </c>
      <c r="D52" s="2217"/>
      <c r="E52" s="2218"/>
      <c r="F52" s="2218"/>
      <c r="G52" s="2206" t="s">
        <v>24</v>
      </c>
      <c r="H52" s="2206" t="s">
        <v>24</v>
      </c>
      <c r="I52" s="2206">
        <v>0.41670000000000001</v>
      </c>
      <c r="J52" s="3019">
        <v>0.36899999999999999</v>
      </c>
    </row>
    <row r="53" spans="1:10" ht="15" customHeight="1">
      <c r="A53" s="3488"/>
      <c r="B53" s="3485" t="s">
        <v>182</v>
      </c>
      <c r="C53" s="1838" t="s">
        <v>166</v>
      </c>
      <c r="D53" s="2215"/>
      <c r="E53" s="2216"/>
      <c r="F53" s="2216"/>
      <c r="G53" s="2666"/>
      <c r="H53" s="2216"/>
      <c r="I53" s="2216"/>
      <c r="J53" s="3018">
        <v>0.44190000000000002</v>
      </c>
    </row>
    <row r="54" spans="1:10" ht="15" customHeight="1">
      <c r="A54" s="3488"/>
      <c r="B54" s="3486"/>
      <c r="C54" s="3106" t="s">
        <v>167</v>
      </c>
      <c r="D54" s="2664"/>
      <c r="E54" s="2665"/>
      <c r="F54" s="2665"/>
      <c r="G54" s="2667"/>
      <c r="H54" s="2665"/>
      <c r="I54" s="2665"/>
      <c r="J54" s="3018">
        <v>0.53159999999999996</v>
      </c>
    </row>
    <row r="55" spans="1:10" ht="15" customHeight="1">
      <c r="A55" s="3488"/>
      <c r="B55" s="3486"/>
      <c r="C55" s="2661" t="s">
        <v>168</v>
      </c>
      <c r="D55" s="2662"/>
      <c r="E55" s="2663"/>
      <c r="F55" s="2663"/>
      <c r="G55" s="2668"/>
      <c r="H55" s="2663"/>
      <c r="I55" s="2663"/>
      <c r="J55" s="3018">
        <v>1.3299999999999999E-2</v>
      </c>
    </row>
    <row r="56" spans="1:10" ht="15" customHeight="1">
      <c r="A56" s="3488"/>
      <c r="B56" s="3486"/>
      <c r="C56" s="1840" t="s">
        <v>169</v>
      </c>
      <c r="D56" s="2662"/>
      <c r="E56" s="2663"/>
      <c r="F56" s="2663"/>
      <c r="G56" s="2668"/>
      <c r="H56" s="2663"/>
      <c r="I56" s="2663"/>
      <c r="J56" s="3018">
        <v>1.3299999999999999E-2</v>
      </c>
    </row>
    <row r="57" spans="1:10" ht="15" customHeight="1">
      <c r="A57" s="3488"/>
      <c r="B57" s="3486"/>
      <c r="C57" s="2661" t="s">
        <v>173</v>
      </c>
      <c r="D57" s="1247">
        <v>0</v>
      </c>
      <c r="E57" s="2205">
        <v>1</v>
      </c>
      <c r="F57" s="2205">
        <v>0</v>
      </c>
      <c r="G57" s="2205">
        <v>0.96950000000000003</v>
      </c>
      <c r="H57" s="2205">
        <v>0.875</v>
      </c>
      <c r="I57" s="2205">
        <v>0.83330000000000004</v>
      </c>
      <c r="J57" s="3018">
        <v>0.97340000000000004</v>
      </c>
    </row>
    <row r="58" spans="1:10" ht="15" customHeight="1" thickBot="1">
      <c r="A58" s="3488"/>
      <c r="B58" s="3487"/>
      <c r="C58" s="1839" t="s">
        <v>174</v>
      </c>
      <c r="D58" s="2219">
        <v>0</v>
      </c>
      <c r="E58" s="2206">
        <v>0</v>
      </c>
      <c r="F58" s="2206">
        <v>0</v>
      </c>
      <c r="G58" s="2206">
        <v>3.0499999999999999E-2</v>
      </c>
      <c r="H58" s="2206">
        <v>0.125</v>
      </c>
      <c r="I58" s="2206">
        <v>0.16669999999999999</v>
      </c>
      <c r="J58" s="3019">
        <v>2.6599999999999999E-2</v>
      </c>
    </row>
    <row r="59" spans="1:10" ht="15" customHeight="1">
      <c r="A59" s="3488"/>
      <c r="B59" s="3485" t="s">
        <v>183</v>
      </c>
      <c r="C59" s="1838" t="s">
        <v>166</v>
      </c>
      <c r="D59" s="2215"/>
      <c r="E59" s="2216"/>
      <c r="F59" s="2216"/>
      <c r="G59" s="2666"/>
      <c r="H59" s="2216"/>
      <c r="I59" s="2216"/>
      <c r="J59" s="3018">
        <v>0.46729999999999999</v>
      </c>
    </row>
    <row r="60" spans="1:10" ht="15" customHeight="1">
      <c r="A60" s="3488"/>
      <c r="B60" s="3486"/>
      <c r="C60" s="3106" t="s">
        <v>167</v>
      </c>
      <c r="D60" s="2664"/>
      <c r="E60" s="2665"/>
      <c r="F60" s="2665"/>
      <c r="G60" s="2667"/>
      <c r="H60" s="2665"/>
      <c r="I60" s="2665"/>
      <c r="J60" s="3018">
        <v>0.2445</v>
      </c>
    </row>
    <row r="61" spans="1:10" ht="15" customHeight="1">
      <c r="A61" s="3488"/>
      <c r="B61" s="3486"/>
      <c r="C61" s="2661" t="s">
        <v>168</v>
      </c>
      <c r="D61" s="2662"/>
      <c r="E61" s="2663"/>
      <c r="F61" s="2663"/>
      <c r="G61" s="2668"/>
      <c r="H61" s="2663"/>
      <c r="I61" s="2663"/>
      <c r="J61" s="3018">
        <v>0.15390000000000001</v>
      </c>
    </row>
    <row r="62" spans="1:10" ht="15" customHeight="1">
      <c r="A62" s="3488"/>
      <c r="B62" s="3486"/>
      <c r="C62" s="1840" t="s">
        <v>169</v>
      </c>
      <c r="D62" s="2662"/>
      <c r="E62" s="2663"/>
      <c r="F62" s="2663"/>
      <c r="G62" s="2668"/>
      <c r="H62" s="2663"/>
      <c r="I62" s="2663"/>
      <c r="J62" s="3018">
        <v>0.1343</v>
      </c>
    </row>
    <row r="63" spans="1:10" ht="15" customHeight="1">
      <c r="A63" s="3488"/>
      <c r="B63" s="3486"/>
      <c r="C63" s="1840" t="s">
        <v>173</v>
      </c>
      <c r="D63" s="2220">
        <v>0.605462605462605</v>
      </c>
      <c r="E63" s="2209">
        <v>0.64897552646556633</v>
      </c>
      <c r="F63" s="2209">
        <v>0.67929918110836029</v>
      </c>
      <c r="G63" s="2209">
        <v>0.72499999999999998</v>
      </c>
      <c r="H63" s="2209">
        <v>0.5847</v>
      </c>
      <c r="I63" s="2209">
        <v>0.68169999999999997</v>
      </c>
      <c r="J63" s="3018">
        <v>0.71179999999999999</v>
      </c>
    </row>
    <row r="64" spans="1:10" ht="15" customHeight="1" thickBot="1">
      <c r="A64" s="3488"/>
      <c r="B64" s="3487"/>
      <c r="C64" s="1839" t="s">
        <v>174</v>
      </c>
      <c r="D64" s="2221">
        <v>0.39453739453739456</v>
      </c>
      <c r="E64" s="2210">
        <v>0.35102447353443372</v>
      </c>
      <c r="F64" s="2210">
        <v>0.32070081889163971</v>
      </c>
      <c r="G64" s="2210">
        <v>0.27500000000000002</v>
      </c>
      <c r="H64" s="2210">
        <v>0.4153</v>
      </c>
      <c r="I64" s="2853">
        <v>0.31830000000000003</v>
      </c>
      <c r="J64" s="3019">
        <v>0.28820000000000001</v>
      </c>
    </row>
    <row r="65" spans="1:10">
      <c r="A65" s="59"/>
      <c r="B65" s="8"/>
      <c r="C65" s="8"/>
      <c r="D65" s="8"/>
      <c r="E65" s="8"/>
      <c r="F65" s="8"/>
      <c r="G65" s="211"/>
      <c r="H65" s="8"/>
      <c r="I65" s="8"/>
      <c r="J65" s="2852"/>
    </row>
    <row r="66" spans="1:10">
      <c r="J66" s="2852"/>
    </row>
    <row r="67" spans="1:10">
      <c r="J67" s="2852"/>
    </row>
    <row r="68" spans="1:10">
      <c r="J68" s="2852"/>
    </row>
    <row r="69" spans="1:10">
      <c r="J69" s="2852"/>
    </row>
  </sheetData>
  <mergeCells count="11">
    <mergeCell ref="B47:B52"/>
    <mergeCell ref="B53:B58"/>
    <mergeCell ref="B59:B64"/>
    <mergeCell ref="A9:A64"/>
    <mergeCell ref="B5:B10"/>
    <mergeCell ref="B11:B16"/>
    <mergeCell ref="B17:B22"/>
    <mergeCell ref="B29:B34"/>
    <mergeCell ref="B35:B40"/>
    <mergeCell ref="B41:B46"/>
    <mergeCell ref="B23:B28"/>
  </mergeCells>
  <pageMargins left="0.25" right="0.25" top="0.75" bottom="0.75" header="0.3" footer="0.3"/>
  <pageSetup paperSize="8" orientation="landscape" r:id="rId1"/>
  <headerFooter>
    <oddFooter>&amp;C_x000D_&amp;1#&amp;"Calibri"&amp;10&amp;K000000 C2 - Internal</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EEB6E-D5E2-485D-84BB-B65F5E14A64E}">
  <sheetPr codeName="Sheet9">
    <tabColor theme="0"/>
  </sheetPr>
  <dimension ref="A1:K8"/>
  <sheetViews>
    <sheetView showGridLines="0" workbookViewId="0"/>
  </sheetViews>
  <sheetFormatPr defaultColWidth="9" defaultRowHeight="13.9"/>
  <cols>
    <col min="1" max="1" width="3.85546875" style="8" customWidth="1"/>
    <col min="2" max="2" width="39" style="8" bestFit="1" customWidth="1"/>
    <col min="3" max="3" width="9" style="8"/>
    <col min="4" max="11" width="10.85546875" style="8" customWidth="1"/>
    <col min="12" max="16384" width="9" style="8"/>
  </cols>
  <sheetData>
    <row r="1" spans="1:11" ht="17.45">
      <c r="A1" s="10" t="s">
        <v>184</v>
      </c>
    </row>
    <row r="2" spans="1:11" ht="17.45">
      <c r="A2" s="10" t="s">
        <v>185</v>
      </c>
    </row>
    <row r="3" spans="1:11">
      <c r="C3" s="1559"/>
      <c r="D3" s="1560"/>
      <c r="E3" s="1560"/>
      <c r="F3" s="1560"/>
      <c r="G3" s="1560"/>
      <c r="H3" s="1560"/>
    </row>
    <row r="4" spans="1:11">
      <c r="A4" s="1563"/>
      <c r="B4" s="3494"/>
      <c r="C4" s="3495"/>
      <c r="D4" s="2222" t="s">
        <v>11</v>
      </c>
      <c r="E4" s="2223" t="s">
        <v>12</v>
      </c>
      <c r="F4" s="2223" t="s">
        <v>13</v>
      </c>
      <c r="G4" s="2223" t="s">
        <v>14</v>
      </c>
      <c r="H4" s="2223" t="s">
        <v>15</v>
      </c>
      <c r="I4" s="2222" t="s">
        <v>16</v>
      </c>
      <c r="J4" s="2222" t="s">
        <v>163</v>
      </c>
      <c r="K4" s="2222" t="s">
        <v>164</v>
      </c>
    </row>
    <row r="5" spans="1:11" ht="66.75" customHeight="1">
      <c r="A5" s="1843"/>
      <c r="B5" s="3492" t="s">
        <v>186</v>
      </c>
      <c r="C5" s="3492"/>
      <c r="D5" s="1268" t="s">
        <v>187</v>
      </c>
      <c r="E5" s="1268" t="s">
        <v>187</v>
      </c>
      <c r="F5" s="1268" t="s">
        <v>187</v>
      </c>
      <c r="G5" s="1268" t="s">
        <v>188</v>
      </c>
      <c r="H5" s="1268" t="s">
        <v>187</v>
      </c>
      <c r="I5" s="1268" t="s">
        <v>187</v>
      </c>
      <c r="J5" s="1561" t="s">
        <v>189</v>
      </c>
      <c r="K5" s="1561" t="s">
        <v>190</v>
      </c>
    </row>
    <row r="6" spans="1:11">
      <c r="A6" s="1569"/>
      <c r="B6" s="502"/>
      <c r="C6" s="502"/>
      <c r="D6" s="502"/>
      <c r="E6" s="642"/>
      <c r="F6" s="29"/>
      <c r="G6" s="29"/>
      <c r="H6" s="29"/>
    </row>
    <row r="7" spans="1:11" ht="26.45">
      <c r="A7" s="1844"/>
      <c r="B7" s="3492" t="s">
        <v>191</v>
      </c>
      <c r="C7" s="3493"/>
      <c r="D7" s="1267" t="s">
        <v>192</v>
      </c>
      <c r="E7" s="1267" t="s">
        <v>192</v>
      </c>
      <c r="F7" s="1267" t="s">
        <v>192</v>
      </c>
      <c r="G7" s="1267" t="s">
        <v>192</v>
      </c>
      <c r="H7" s="1267" t="s">
        <v>192</v>
      </c>
      <c r="I7" s="1267" t="s">
        <v>192</v>
      </c>
      <c r="J7" s="1562" t="s">
        <v>192</v>
      </c>
      <c r="K7" s="1562" t="s">
        <v>192</v>
      </c>
    </row>
    <row r="8" spans="1:11" ht="100.9" hidden="1" customHeight="1">
      <c r="A8" s="1844"/>
      <c r="B8" s="3492" t="s">
        <v>193</v>
      </c>
      <c r="C8" s="3493"/>
      <c r="D8" s="1267"/>
      <c r="E8" s="1267"/>
      <c r="F8" s="1267"/>
      <c r="G8" s="1267"/>
      <c r="H8" s="1267"/>
      <c r="I8" s="1267"/>
      <c r="J8" s="1562"/>
      <c r="K8" s="1562"/>
    </row>
  </sheetData>
  <mergeCells count="4">
    <mergeCell ref="B5:C5"/>
    <mergeCell ref="B7:C7"/>
    <mergeCell ref="B4:C4"/>
    <mergeCell ref="B8:C8"/>
  </mergeCells>
  <pageMargins left="0.7" right="0.7" top="0.75" bottom="0.75" header="0.3" footer="0.3"/>
  <headerFooter>
    <oddFooter>&amp;C_x000D_&amp;1#&amp;"Calibri"&amp;10&amp;K000000 C2 - Internal</oddFooter>
  </headerFooter>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B4292-CC48-4C00-BB72-1EF9D0353B81}">
  <sheetPr codeName="Sheet7">
    <tabColor theme="0"/>
  </sheetPr>
  <dimension ref="A1:L8"/>
  <sheetViews>
    <sheetView showGridLines="0" workbookViewId="0"/>
  </sheetViews>
  <sheetFormatPr defaultRowHeight="14.45"/>
  <cols>
    <col min="1" max="1" width="4.28515625" customWidth="1"/>
    <col min="2" max="2" width="59" customWidth="1"/>
    <col min="3" max="9" width="9.85546875" customWidth="1"/>
  </cols>
  <sheetData>
    <row r="1" spans="1:12" ht="17.45">
      <c r="A1" s="15" t="s">
        <v>194</v>
      </c>
      <c r="C1" s="4" t="s">
        <v>195</v>
      </c>
      <c r="D1" s="4" t="s">
        <v>196</v>
      </c>
      <c r="E1" s="4"/>
      <c r="F1" s="4"/>
      <c r="G1" s="4"/>
      <c r="H1" s="4"/>
      <c r="I1" s="4"/>
      <c r="J1" s="5" t="s">
        <v>196</v>
      </c>
      <c r="K1" s="1"/>
    </row>
    <row r="2" spans="1:12" ht="17.45">
      <c r="A2" s="58" t="s">
        <v>197</v>
      </c>
      <c r="C2" s="4"/>
      <c r="D2" s="4"/>
      <c r="E2" s="4"/>
      <c r="F2" s="4"/>
      <c r="G2" s="4"/>
      <c r="H2" s="4"/>
      <c r="I2" s="4"/>
      <c r="J2" s="5"/>
      <c r="K2" s="1"/>
    </row>
    <row r="3" spans="1:12" ht="17.45">
      <c r="A3" s="58"/>
      <c r="C3" s="4"/>
      <c r="D3" s="4"/>
      <c r="E3" s="4"/>
      <c r="F3" s="4"/>
      <c r="G3" s="4"/>
      <c r="H3" s="4"/>
      <c r="I3" s="4"/>
      <c r="J3" s="5"/>
      <c r="K3" s="1"/>
    </row>
    <row r="4" spans="1:12">
      <c r="A4" s="1564"/>
      <c r="B4" s="1565"/>
      <c r="C4" s="1734" t="s">
        <v>12</v>
      </c>
      <c r="D4" s="1734" t="s">
        <v>13</v>
      </c>
      <c r="E4" s="1734" t="s">
        <v>14</v>
      </c>
      <c r="F4" s="1734" t="s">
        <v>15</v>
      </c>
      <c r="G4" s="1734" t="s">
        <v>16</v>
      </c>
      <c r="H4" s="1734" t="s">
        <v>163</v>
      </c>
      <c r="I4" s="1734" t="s">
        <v>164</v>
      </c>
      <c r="J4" s="5"/>
      <c r="K4" s="1"/>
    </row>
    <row r="5" spans="1:12" ht="21.75" customHeight="1">
      <c r="A5" s="3496"/>
      <c r="B5" s="1845" t="s">
        <v>198</v>
      </c>
      <c r="C5" s="54">
        <v>6375</v>
      </c>
      <c r="D5" s="54">
        <v>6344</v>
      </c>
      <c r="E5" s="54">
        <v>4719</v>
      </c>
      <c r="F5" s="54">
        <v>4559</v>
      </c>
      <c r="G5" s="54">
        <v>6429</v>
      </c>
      <c r="H5" s="855">
        <v>7591</v>
      </c>
      <c r="I5" s="855">
        <v>7497</v>
      </c>
      <c r="J5" s="200"/>
      <c r="K5" s="200"/>
      <c r="L5" s="200"/>
    </row>
    <row r="6" spans="1:12" ht="21.75" customHeight="1">
      <c r="A6" s="3496"/>
      <c r="B6" s="1842" t="s">
        <v>199</v>
      </c>
      <c r="C6" s="1095">
        <v>0.911625911625912</v>
      </c>
      <c r="D6" s="1095">
        <v>0.90267501422879914</v>
      </c>
      <c r="E6" s="1095">
        <v>0.89870000000000005</v>
      </c>
      <c r="F6" s="1095">
        <v>0.90400000000000003</v>
      </c>
      <c r="G6" s="1095">
        <v>0.91720000000000002</v>
      </c>
      <c r="H6" s="1096">
        <v>0.86750000000000005</v>
      </c>
      <c r="I6" s="1096">
        <v>0.86099999999999999</v>
      </c>
      <c r="J6" s="200"/>
      <c r="K6" s="200"/>
      <c r="L6" s="200"/>
    </row>
    <row r="7" spans="1:12">
      <c r="B7" s="2951" t="s">
        <v>200</v>
      </c>
    </row>
    <row r="8" spans="1:12" ht="22.5" customHeight="1"/>
  </sheetData>
  <mergeCells count="1">
    <mergeCell ref="A5:A6"/>
  </mergeCells>
  <pageMargins left="0.25" right="0.25" top="0.75" bottom="0.75" header="0.3" footer="0.3"/>
  <pageSetup paperSize="8" orientation="landscape" r:id="rId1"/>
  <headerFooter>
    <oddFooter>&amp;C_x000D_&amp;1#&amp;"Calibri"&amp;10&amp;K000000 C2 - 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F717B-918D-441B-A687-CC98B4D7F5F4}">
  <sheetPr codeName="Sheet10">
    <tabColor theme="0"/>
  </sheetPr>
  <dimension ref="A1:K14"/>
  <sheetViews>
    <sheetView showGridLines="0" zoomScaleNormal="100" workbookViewId="0"/>
  </sheetViews>
  <sheetFormatPr defaultColWidth="8.85546875" defaultRowHeight="13.9"/>
  <cols>
    <col min="1" max="1" width="3.7109375" style="8" customWidth="1"/>
    <col min="2" max="2" width="87" style="8" customWidth="1"/>
    <col min="3" max="4" width="9.5703125" style="8" bestFit="1" customWidth="1"/>
    <col min="5" max="16384" width="8.85546875" style="8"/>
  </cols>
  <sheetData>
    <row r="1" spans="1:11" ht="17.45">
      <c r="A1" s="15" t="s">
        <v>201</v>
      </c>
    </row>
    <row r="2" spans="1:11" ht="17.45">
      <c r="A2" s="15" t="s">
        <v>202</v>
      </c>
    </row>
    <row r="3" spans="1:11" ht="14.45" thickBot="1"/>
    <row r="4" spans="1:11" ht="14.45" thickBot="1">
      <c r="A4" s="1848"/>
      <c r="B4" s="1876"/>
      <c r="C4" s="1877" t="s">
        <v>12</v>
      </c>
      <c r="D4" s="1739" t="s">
        <v>13</v>
      </c>
      <c r="E4" s="1739" t="s">
        <v>14</v>
      </c>
      <c r="F4" s="1739" t="s">
        <v>15</v>
      </c>
      <c r="G4" s="1739" t="s">
        <v>16</v>
      </c>
      <c r="H4" s="1739" t="s">
        <v>163</v>
      </c>
      <c r="I4" s="2041" t="s">
        <v>164</v>
      </c>
    </row>
    <row r="5" spans="1:11" ht="40.5" customHeight="1">
      <c r="A5" s="3497"/>
      <c r="B5" s="1882" t="s">
        <v>203</v>
      </c>
      <c r="C5" s="1869"/>
      <c r="D5" s="1869"/>
      <c r="E5" s="1869"/>
      <c r="F5" s="1869"/>
      <c r="G5" s="1869"/>
      <c r="H5" s="1869"/>
      <c r="I5" s="1870"/>
    </row>
    <row r="6" spans="1:11" ht="15" customHeight="1">
      <c r="A6" s="3498"/>
      <c r="B6" s="1883" t="s">
        <v>204</v>
      </c>
      <c r="C6" s="1871"/>
      <c r="D6" s="1871"/>
      <c r="E6" s="1871"/>
      <c r="F6" s="1846"/>
      <c r="G6" s="1846"/>
      <c r="H6" s="1846"/>
      <c r="I6" s="1872"/>
    </row>
    <row r="7" spans="1:11">
      <c r="A7" s="3498"/>
      <c r="B7" s="1884" t="s">
        <v>205</v>
      </c>
      <c r="C7" s="1878">
        <v>889.4</v>
      </c>
      <c r="D7" s="1260">
        <v>922.3</v>
      </c>
      <c r="E7" s="1259">
        <v>187.1</v>
      </c>
      <c r="F7" s="1259">
        <v>462.1</v>
      </c>
      <c r="G7" s="1261">
        <v>1029</v>
      </c>
      <c r="H7" s="1261">
        <v>1238</v>
      </c>
      <c r="I7" s="3032">
        <v>1342.5</v>
      </c>
      <c r="K7" s="32"/>
    </row>
    <row r="8" spans="1:11" ht="15" customHeight="1">
      <c r="A8" s="3498"/>
      <c r="B8" s="1885" t="s">
        <v>206</v>
      </c>
      <c r="C8" s="1873"/>
      <c r="D8" s="1873"/>
      <c r="E8" s="1873"/>
      <c r="F8" s="1847"/>
      <c r="G8" s="1847"/>
      <c r="H8" s="1847"/>
      <c r="I8" s="1874"/>
    </row>
    <row r="9" spans="1:11" ht="15" customHeight="1">
      <c r="A9" s="3498"/>
      <c r="B9" s="1886" t="s">
        <v>207</v>
      </c>
      <c r="C9" s="1879">
        <v>262.3</v>
      </c>
      <c r="D9" s="1262">
        <v>245.9</v>
      </c>
      <c r="E9" s="1262">
        <v>202.4</v>
      </c>
      <c r="F9" s="1262">
        <v>189.9</v>
      </c>
      <c r="G9" s="1262">
        <v>325.3</v>
      </c>
      <c r="H9" s="1263">
        <v>399.5</v>
      </c>
      <c r="I9" s="3050">
        <v>386.8</v>
      </c>
    </row>
    <row r="10" spans="1:11" ht="15" customHeight="1">
      <c r="A10" s="3498"/>
      <c r="B10" s="1886" t="s">
        <v>208</v>
      </c>
      <c r="C10" s="1879">
        <v>249.1</v>
      </c>
      <c r="D10" s="1262">
        <v>265.39999999999998</v>
      </c>
      <c r="E10" s="1262">
        <v>203.9</v>
      </c>
      <c r="F10" s="1263">
        <v>164.7</v>
      </c>
      <c r="G10" s="1263">
        <v>291.7</v>
      </c>
      <c r="H10" s="1263">
        <v>331.5</v>
      </c>
      <c r="I10" s="3050">
        <v>385.3</v>
      </c>
    </row>
    <row r="11" spans="1:11" ht="15" customHeight="1">
      <c r="A11" s="3498"/>
      <c r="B11" s="1886" t="s">
        <v>209</v>
      </c>
      <c r="C11" s="1879">
        <v>272.8</v>
      </c>
      <c r="D11" s="1262">
        <v>231.9</v>
      </c>
      <c r="E11" s="1264">
        <v>0</v>
      </c>
      <c r="F11" s="1264">
        <v>0</v>
      </c>
      <c r="G11" s="1263">
        <v>50.1</v>
      </c>
      <c r="H11" s="1263">
        <v>125.2</v>
      </c>
      <c r="I11" s="3050">
        <v>124.3</v>
      </c>
    </row>
    <row r="12" spans="1:11" ht="15" customHeight="1">
      <c r="A12" s="3498"/>
      <c r="B12" s="1886" t="s">
        <v>210</v>
      </c>
      <c r="C12" s="1879" t="s">
        <v>211</v>
      </c>
      <c r="D12" s="1262">
        <v>58.8</v>
      </c>
      <c r="E12" s="1262">
        <v>-42.1</v>
      </c>
      <c r="F12" s="1264">
        <v>0</v>
      </c>
      <c r="G12" s="1263">
        <v>32.1</v>
      </c>
      <c r="H12" s="1263">
        <v>50.1</v>
      </c>
      <c r="I12" s="3050">
        <v>61.4</v>
      </c>
    </row>
    <row r="13" spans="1:11" ht="15" customHeight="1">
      <c r="A13" s="3498"/>
      <c r="B13" s="1886" t="s">
        <v>212</v>
      </c>
      <c r="C13" s="1880">
        <v>1.149</v>
      </c>
      <c r="D13" s="1264">
        <v>0.6</v>
      </c>
      <c r="E13" s="1264">
        <v>0.3</v>
      </c>
      <c r="F13" s="1264">
        <v>0.3</v>
      </c>
      <c r="G13" s="1265">
        <v>0.9</v>
      </c>
      <c r="H13" s="1265">
        <v>0.8</v>
      </c>
      <c r="I13" s="3051">
        <v>0.8</v>
      </c>
    </row>
    <row r="14" spans="1:11" ht="15" customHeight="1" thickBot="1">
      <c r="A14" s="3499"/>
      <c r="B14" s="1887" t="s">
        <v>213</v>
      </c>
      <c r="C14" s="1881">
        <v>65.051000000000002</v>
      </c>
      <c r="D14" s="1875">
        <f>D7-D9-D10-D11-D12-D13</f>
        <v>119.7</v>
      </c>
      <c r="E14" s="1875">
        <f>E7-E9-E10-E11-E12-E13</f>
        <v>-177.40000000000003</v>
      </c>
      <c r="F14" s="1875">
        <v>92</v>
      </c>
      <c r="G14" s="1875">
        <f>G7-G9-G10-G11-G12-G13</f>
        <v>328.90000000000003</v>
      </c>
      <c r="H14" s="1875">
        <f>H7-H9-H10-H11-H12-H13</f>
        <v>330.9</v>
      </c>
      <c r="I14" s="1875">
        <f>I7-I9-I10-I11-I12-I13</f>
        <v>383.90000000000009</v>
      </c>
    </row>
  </sheetData>
  <mergeCells count="1">
    <mergeCell ref="A5:A14"/>
  </mergeCells>
  <pageMargins left="0.25" right="0.25" top="0.75" bottom="0.75" header="0.3" footer="0.3"/>
  <pageSetup paperSize="8" orientation="landscape" r:id="rId1"/>
  <headerFooter>
    <oddFooter>&amp;C_x000D_&amp;1#&amp;"Calibri"&amp;10&amp;K000000 C2 -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DC7F5EAE2E9E94493E3877A8CFEA6CF" ma:contentTypeVersion="19" ma:contentTypeDescription="Create a new document." ma:contentTypeScope="" ma:versionID="ba24a36044cbba7290cc649f7ed7c565">
  <xsd:schema xmlns:xsd="http://www.w3.org/2001/XMLSchema" xmlns:xs="http://www.w3.org/2001/XMLSchema" xmlns:p="http://schemas.microsoft.com/office/2006/metadata/properties" xmlns:ns2="fda02ded-c5d2-4c84-b69e-215a0dbb51f8" xmlns:ns3="1217fbfb-8d24-4d14-b1f2-97774f7e5354" targetNamespace="http://schemas.microsoft.com/office/2006/metadata/properties" ma:root="true" ma:fieldsID="b8fdc9dad916cdb3df1757c5e0b01549" ns2:_="" ns3:_="">
    <xsd:import namespace="fda02ded-c5d2-4c84-b69e-215a0dbb51f8"/>
    <xsd:import namespace="1217fbfb-8d24-4d14-b1f2-97774f7e535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a02ded-c5d2-4c84-b69e-215a0dbb51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0b98eee-6b9f-459e-bc95-887f56f4e46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217fbfb-8d24-4d14-b1f2-97774f7e5354"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6cd3a7e-405a-4e8e-81be-74e943d2b80e}" ma:internalName="TaxCatchAll" ma:showField="CatchAllData" ma:web="1217fbfb-8d24-4d14-b1f2-97774f7e535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1217fbfb-8d24-4d14-b1f2-97774f7e5354">
      <UserInfo>
        <DisplayName>Adam Freeman</DisplayName>
        <AccountId>4</AccountId>
        <AccountType/>
      </UserInfo>
      <UserInfo>
        <DisplayName>SharingLinks.e3161ec1-c4a0-4209-8ac3-195d400a7c92.Flexible.173ed183-cd9b-45bd-b729-4e007c90ca06</DisplayName>
        <AccountId>35</AccountId>
        <AccountType/>
      </UserInfo>
      <UserInfo>
        <DisplayName>SharingLinks.7496a035-3905-4a76-959c-4e8bf2087a8f.Flexible.e7d5a715-2383-4045-9f12-7c18abc3fb7f</DisplayName>
        <AccountId>21</AccountId>
        <AccountType/>
      </UserInfo>
      <UserInfo>
        <DisplayName>Dave Wilde</DisplayName>
        <AccountId>361</AccountId>
        <AccountType/>
      </UserInfo>
      <UserInfo>
        <DisplayName>Matthew Zambas</DisplayName>
        <AccountId>363</AccountId>
        <AccountType/>
      </UserInfo>
      <UserInfo>
        <DisplayName>Adam Lester</DisplayName>
        <AccountId>364</AccountId>
        <AccountType/>
      </UserInfo>
      <UserInfo>
        <DisplayName>Joe Heathcote</DisplayName>
        <AccountId>205</AccountId>
        <AccountType/>
      </UserInfo>
      <UserInfo>
        <DisplayName>Callum Davison</DisplayName>
        <AccountId>313</AccountId>
        <AccountType/>
      </UserInfo>
      <UserInfo>
        <DisplayName>Atanas Minchev</DisplayName>
        <AccountId>54</AccountId>
        <AccountType/>
      </UserInfo>
      <UserInfo>
        <DisplayName>Mohammed Chowdhury</DisplayName>
        <AccountId>352</AccountId>
        <AccountType/>
      </UserInfo>
      <UserInfo>
        <DisplayName>Nikki Mccann</DisplayName>
        <AccountId>575</AccountId>
        <AccountType/>
      </UserInfo>
      <UserInfo>
        <DisplayName>Nicola Foster</DisplayName>
        <AccountId>238</AccountId>
        <AccountType/>
      </UserInfo>
      <UserInfo>
        <DisplayName>Vazistane Robin-Nimalraj</DisplayName>
        <AccountId>585</AccountId>
        <AccountType/>
      </UserInfo>
    </SharedWithUsers>
    <TaxCatchAll xmlns="1217fbfb-8d24-4d14-b1f2-97774f7e5354" xsi:nil="true"/>
    <lcf76f155ced4ddcb4097134ff3c332f xmlns="fda02ded-c5d2-4c84-b69e-215a0dbb51f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9A6C2D3-876C-4E24-9A93-89B5C43A157A}"/>
</file>

<file path=customXml/itemProps2.xml><?xml version="1.0" encoding="utf-8"?>
<ds:datastoreItem xmlns:ds="http://schemas.openxmlformats.org/officeDocument/2006/customXml" ds:itemID="{0913E2F2-1B66-4584-A104-1EEC148D4CFE}"/>
</file>

<file path=customXml/itemProps3.xml><?xml version="1.0" encoding="utf-8"?>
<ds:datastoreItem xmlns:ds="http://schemas.openxmlformats.org/officeDocument/2006/customXml" ds:itemID="{13730700-A549-4373-9A40-E34BC85C3F4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Simply Sustainable;Callum.Davison@magairports.com</dc:creator>
  <cp:keywords/>
  <dc:description/>
  <cp:lastModifiedBy/>
  <cp:revision/>
  <dcterms:created xsi:type="dcterms:W3CDTF">2020-08-19T13:35:16Z</dcterms:created>
  <dcterms:modified xsi:type="dcterms:W3CDTF">2025-10-21T17:29:24Z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0x010100DDC7F5EAE2E9E94493E3877A8CFEA6CF</vt:lpwstr>
  </property>
  <property fmtid="{D5CDD505-2E9C-101B-9397-08002B2CF9AE}" pid="3" name="MediaServiceImageTags">
    <vt:lpwstr/>
  </property>
  <property fmtid="{D5CDD505-2E9C-101B-9397-08002B2CF9AE}" pid="4" name="MSIP_Label_dc82e2c0-f3d2-421b-a121-8691e12c08be_Enabled">
    <vt:lpwstr>true</vt:lpwstr>
  </property>
  <property fmtid="{D5CDD505-2E9C-101B-9397-08002B2CF9AE}" pid="5" name="MSIP_Label_dc82e2c0-f3d2-421b-a121-8691e12c08be_SetDate">
    <vt:lpwstr>2024-03-21T10:27:53Z</vt:lpwstr>
  </property>
  <property fmtid="{D5CDD505-2E9C-101B-9397-08002B2CF9AE}" pid="6" name="MSIP_Label_dc82e2c0-f3d2-421b-a121-8691e12c08be_Method">
    <vt:lpwstr>Standard</vt:lpwstr>
  </property>
  <property fmtid="{D5CDD505-2E9C-101B-9397-08002B2CF9AE}" pid="7" name="MSIP_Label_dc82e2c0-f3d2-421b-a121-8691e12c08be_Name">
    <vt:lpwstr>C2 - Internal</vt:lpwstr>
  </property>
  <property fmtid="{D5CDD505-2E9C-101B-9397-08002B2CF9AE}" pid="8" name="MSIP_Label_dc82e2c0-f3d2-421b-a121-8691e12c08be_SiteId">
    <vt:lpwstr>c0988276-7978-4f2a-bd8f-918a37a5c957</vt:lpwstr>
  </property>
  <property fmtid="{D5CDD505-2E9C-101B-9397-08002B2CF9AE}" pid="9" name="MSIP_Label_dc82e2c0-f3d2-421b-a121-8691e12c08be_ActionId">
    <vt:lpwstr>b19eda98-1152-49e8-b417-7b9859767af1</vt:lpwstr>
  </property>
  <property fmtid="{D5CDD505-2E9C-101B-9397-08002B2CF9AE}" pid="10" name="MSIP_Label_dc82e2c0-f3d2-421b-a121-8691e12c08be_ContentBits">
    <vt:lpwstr>2</vt:lpwstr>
  </property>
</Properties>
</file>